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<sst xmlns="http://schemas.openxmlformats.org/spreadsheetml/2006/main" count="282" uniqueCount="251">
  <si>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</si>
  <si>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</si>
  <si>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</si>
  <si>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</si>
  <si>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</si>
  <si>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</si>
  <si>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</si>
  <si>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</si>
  <si>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</si>
  <si>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</si>
  <si>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</si>
  <si>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</si>
  <si>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</si>
  <si>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</si>
  <si>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</si>
  <si>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</si>
  <si>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</si>
  <si>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</si>
  <si>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</si>
  <si>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</si>
  <si>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</si>
  <si>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</si>
  <si>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</si>
  <si>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</si>
  <si>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</si>
  <si>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</si>
  <si>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</si>
  <si>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</si>
  <si>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</si>
  <si>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</si>
  <si>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</si>
  <si>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</si>
  <si>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</si>
  <si>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</si>
  <si>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</si>
  <si>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</si>
  <si>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</si>
  <si>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</si>
  <si>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</si>
  <si>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</si>
  <si>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</si>
  <si>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</si>
  <si>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</si>
  <si>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</si>
  <si>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</si>
  <si>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</si>
  <si>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</si>
  <si>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</si>
  <si>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</si>
  <si>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</si>
  <si>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</si>
  <si>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</si>
  <si>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</si>
  <si>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</si>
  <si>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</si>
  <si>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</si>
  <si>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</si>
  <si>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</si>
  <si>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</si>
  <si>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</si>
  <si>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</si>
  <si>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</si>
  <si>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</si>
  <si>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</si>
  <si>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</si>
  <si>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</si>
  <si>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</si>
  <si>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</si>
  <si>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</si>
  <si>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</si>
  <si>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</si>
  <si>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</si>
  <si>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</si>
  <si>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</si>
  <si>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</si>
  <si>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</si>
  <si>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</si>
  <si>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</si>
  <si>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</si>
  <si>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</si>
  <si>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</si>
  <si>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</si>
  <si>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</si>
  <si>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</si>
  <si>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</si>
  <si>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</si>
  <si>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</si>
  <si>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</si>
  <si>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</si>
  <si>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</si>
  <si>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</si>
  <si>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</si>
  <si>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</si>
  <si>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</si>
  <si>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</si>
  <si>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</si>
  <si>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</si>
  <si>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</si>
  <si>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</si>
  <si>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</si>
  <si>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</si>
  <si>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</si>
  <si>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</si>
  <si>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</si>
  <si>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</si>
  <si>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</si>
  <si>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</si>
  <si>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</si>
  <si>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</si>
  <si>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</si>
  <si>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</si>
  <si>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</si>
  <si>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</si>
  <si>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</si>
  <si>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</si>
  <si>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</si>
  <si>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</si>
  <si>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</si>
  <si>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</si>
  <si>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</si>
  <si>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</si>
  <si>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</si>
  <si>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</si>
  <si>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</si>
  <si>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</si>
  <si>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</si>
  <si>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</si>
  <si>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</si>
  <si>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</si>
  <si>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</si>
  <si>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</si>
  <si>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</si>
  <si>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</si>
  <si>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</si>
  <si>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</si>
  <si>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</si>
  <si>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</si>
  <si>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</si>
  <si>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</si>
  <si>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</si>
  <si>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</si>
  <si>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</si>
  <si>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</si>
  <si>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</si>
  <si>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</si>
  <si>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</si>
  <si>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</si>
  <si>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</si>
  <si>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</si>
  <si>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</si>
  <si>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</si>
  <si>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</si>
  <si>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</si>
  <si>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</si>
  <si>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</si>
  <si>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</si>
  <si>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</si>
  <si>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</si>
  <si>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</si>
  <si>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</si>
  <si>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</si>
  <si>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</si>
  <si>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</si>
  <si>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</si>
  <si>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</si>
  <si>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</si>
  <si>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</si>
  <si>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</si>
  <si>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</si>
  <si>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</si>
  <si>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</si>
  <si>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</si>
  <si>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</si>
  <si>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</si>
  <si>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</si>
  <si>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</si>
  <si>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</si>
  <si>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</si>
  <si>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</si>
  <si>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</si>
  <si>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</si>
  <si>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</si>
  <si>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</si>
  <si>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</si>
  <si>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</si>
  <si>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</si>
  <si>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</si>
  <si>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</si>
  <si>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</si>
  <si>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</si>
  <si>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</si>
  <si>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</si>
  <si>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</si>
  <si>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</si>
  <si>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</si>
  <si>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</si>
  <si>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</si>
  <si>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</si>
  <si>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</si>
  <si>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</si>
  <si>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</si>
  <si>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</si>
  <si>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</si>
  <si>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</si>
  <si>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</si>
  <si>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</si>
  <si>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</si>
  <si>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</si>
  <si>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</si>
  <si>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</si>
  <si>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</si>
  <si>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</si>
  <si>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</si>
  <si>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</si>
  <si>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</si>
  <si>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</si>
  <si>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</si>
  <si>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</si>
  <si>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</si>
  <si>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</si>
  <si>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</si>
  <si>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</si>
  <si>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</si>
  <si>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</si>
  <si>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</si>
  <si>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</si>
  <si>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</si>
  <si>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</si>
  <si>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</si>
  <si>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</si>
  <si>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</si>
  <si>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</si>
  <si>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</si>
  <si>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</si>
  <si>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</si>
  <si>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</si>
  <si>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</si>
  <si>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</si>
  <si>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</si>
  <si>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</si>
  <si>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</si>
  <si>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Капітальний ремонт житлового будинку по бульв. Шевченка ,132 (утеплення фасаду зі стороени бул.Шевченка з 1 по 4 під'їзд)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</si>
  <si>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</si>
  <si>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</si>
  <si>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</si>
  <si>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</si>
  <si>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</si>
  <si>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</si>
  <si>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</si>
  <si>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</si>
  <si>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Профінансовано на 11.07.2017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</si>
</sst>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13" xfId="0" applyBorder="1" applyAlignment="1">
      <alignment/>
    </xf>
    <xf numFmtId="186" fontId="39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workbookViewId="0" topLeftCell="A1">
      <pane ySplit="7" topLeftCell="BM10" activePane="bottomLeft" state="frozen"/>
      <selection pane="topLeft" activeCell="B1" sqref="B1"/>
      <selection pane="bottomLeft" activeCell="AH6" sqref="AH6:AH7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7"/>
      <c r="AG2" s="6"/>
    </row>
    <row r="3" ht="12.75">
      <c r="AH3" s="94"/>
    </row>
    <row r="4" spans="2:34" ht="18.75">
      <c r="B4" s="260" t="s">
        <v>192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94"/>
    </row>
    <row r="5" spans="1:35" ht="20.25" customHeight="1">
      <c r="A5" s="288" t="s">
        <v>111</v>
      </c>
      <c r="B5" s="7"/>
      <c r="C5" s="289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61" t="s">
        <v>43</v>
      </c>
      <c r="K5" s="261" t="s">
        <v>44</v>
      </c>
      <c r="L5" s="261" t="s">
        <v>45</v>
      </c>
      <c r="M5" s="261" t="s">
        <v>46</v>
      </c>
      <c r="N5" s="267" t="s">
        <v>47</v>
      </c>
      <c r="O5" s="268"/>
      <c r="P5" s="269"/>
      <c r="Q5" s="291" t="s">
        <v>48</v>
      </c>
      <c r="R5" s="291" t="s">
        <v>49</v>
      </c>
      <c r="S5" s="293" t="s">
        <v>50</v>
      </c>
      <c r="T5" s="294"/>
      <c r="U5" s="10"/>
      <c r="V5" s="254" t="s">
        <v>51</v>
      </c>
      <c r="W5" s="254" t="s">
        <v>52</v>
      </c>
      <c r="X5" s="254" t="s">
        <v>53</v>
      </c>
      <c r="Y5" s="279" t="s">
        <v>54</v>
      </c>
      <c r="Z5" s="281" t="s">
        <v>55</v>
      </c>
      <c r="AA5" s="257" t="s">
        <v>56</v>
      </c>
      <c r="AB5" s="257" t="s">
        <v>57</v>
      </c>
      <c r="AC5" s="275" t="s">
        <v>58</v>
      </c>
      <c r="AD5" s="133"/>
      <c r="AI5" s="11" t="s">
        <v>59</v>
      </c>
    </row>
    <row r="6" spans="1:35" ht="19.5">
      <c r="A6" s="288"/>
      <c r="B6" s="261" t="s">
        <v>60</v>
      </c>
      <c r="C6" s="290"/>
      <c r="D6" s="261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2"/>
      <c r="K6" s="262"/>
      <c r="L6" s="262"/>
      <c r="M6" s="262"/>
      <c r="N6" s="270"/>
      <c r="O6" s="271"/>
      <c r="P6" s="272"/>
      <c r="Q6" s="292"/>
      <c r="R6" s="292"/>
      <c r="S6" s="286" t="s">
        <v>97</v>
      </c>
      <c r="T6" s="287"/>
      <c r="U6" s="14"/>
      <c r="V6" s="255"/>
      <c r="W6" s="255"/>
      <c r="X6" s="255"/>
      <c r="Y6" s="280"/>
      <c r="Z6" s="282"/>
      <c r="AA6" s="258"/>
      <c r="AB6" s="258"/>
      <c r="AC6" s="276"/>
      <c r="AD6" s="265" t="s">
        <v>98</v>
      </c>
      <c r="AE6" s="263" t="s">
        <v>48</v>
      </c>
      <c r="AF6" s="263" t="s">
        <v>49</v>
      </c>
      <c r="AG6" s="150" t="s">
        <v>50</v>
      </c>
      <c r="AH6" s="257" t="s">
        <v>250</v>
      </c>
      <c r="AI6" s="259" t="s">
        <v>41</v>
      </c>
    </row>
    <row r="7" spans="1:35" ht="36.75" customHeight="1">
      <c r="A7" s="15">
        <v>1</v>
      </c>
      <c r="B7" s="262"/>
      <c r="C7" s="130">
        <v>1</v>
      </c>
      <c r="D7" s="262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66"/>
      <c r="AE7" s="264"/>
      <c r="AF7" s="264"/>
      <c r="AG7" s="149" t="s">
        <v>97</v>
      </c>
      <c r="AH7" s="258"/>
      <c r="AI7" s="259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45">AE8+AF8</f>
        <v>14382910</v>
      </c>
      <c r="AE8" s="166"/>
      <c r="AF8" s="167">
        <f>SUM(AF9:AF51)</f>
        <v>14382910</v>
      </c>
      <c r="AG8" s="167">
        <f>SUM(AG9:AG51)</f>
        <v>14382910</v>
      </c>
      <c r="AH8" s="167">
        <f>SUM(AH9:AH51)</f>
        <v>2358418.1200000006</v>
      </c>
      <c r="AI8" s="33">
        <f aca="true" t="shared" si="1" ref="AI8:AI46">AH8/AF8*100</f>
        <v>16.39736409391424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3680000</v>
      </c>
      <c r="AE9" s="146"/>
      <c r="AF9" s="127">
        <v>3680000</v>
      </c>
      <c r="AG9" s="91">
        <f aca="true" t="shared" si="2" ref="AG9:AG51">AF9</f>
        <v>3680000</v>
      </c>
      <c r="AH9" s="91">
        <f>200937.6+366000+363000+257196+10861+273900+91268.4+179102.4</f>
        <v>1742265.4</v>
      </c>
      <c r="AI9" s="75">
        <f t="shared" si="1"/>
        <v>47.34416847826087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183">
        <v>6999.8</v>
      </c>
      <c r="AI10" s="75">
        <f t="shared" si="1"/>
        <v>6.6035849056603775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183">
        <v>5999.8</v>
      </c>
      <c r="AI11" s="75">
        <f t="shared" si="1"/>
        <v>8.333055555555555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183">
        <v>5999.8</v>
      </c>
      <c r="AI12" s="75">
        <f t="shared" si="1"/>
        <v>8.333055555555555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183">
        <v>7999.8</v>
      </c>
      <c r="AI13" s="75">
        <f t="shared" si="1"/>
        <v>7.017368421052632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183">
        <v>5999.8</v>
      </c>
      <c r="AI14" s="75">
        <f t="shared" si="1"/>
        <v>8.333055555555555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183">
        <v>5999.8</v>
      </c>
      <c r="AI15" s="75">
        <f t="shared" si="1"/>
        <v>8.333055555555555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183">
        <v>10499.8</v>
      </c>
      <c r="AI16" s="75">
        <f t="shared" si="1"/>
        <v>6.402317073170731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183">
        <v>7499.8</v>
      </c>
      <c r="AI17" s="75">
        <f t="shared" si="1"/>
        <v>7.142666666666667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183">
        <v>3999.8</v>
      </c>
      <c r="AI18" s="75">
        <f t="shared" si="1"/>
        <v>9.9995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183">
        <v>5999.8</v>
      </c>
      <c r="AI19" s="75">
        <f t="shared" si="1"/>
        <v>8.333055555555555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183">
        <v>5999.8</v>
      </c>
      <c r="AI20" s="75">
        <f t="shared" si="1"/>
        <v>8.333055555555555</v>
      </c>
    </row>
    <row r="21" spans="1:35" s="147" customFormat="1" ht="37.5">
      <c r="A21" s="138"/>
      <c r="B21" s="151" t="s">
        <v>1</v>
      </c>
      <c r="C21" s="139"/>
      <c r="D21" s="206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183">
        <v>7999.8</v>
      </c>
      <c r="AI21" s="75">
        <f t="shared" si="1"/>
        <v>7.142678571428572</v>
      </c>
    </row>
    <row r="22" spans="1:35" s="147" customFormat="1" ht="37.5">
      <c r="A22" s="138"/>
      <c r="B22" s="151" t="s">
        <v>2</v>
      </c>
      <c r="C22" s="139"/>
      <c r="D22" s="206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06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06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06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06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06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06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241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242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242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242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242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243">
        <f>19998.84</f>
        <v>19998.84</v>
      </c>
      <c r="AI34" s="75">
        <f t="shared" si="1"/>
        <v>0.8021997593261131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>
        <v>4924.8</v>
      </c>
      <c r="AI35" s="75">
        <f t="shared" si="1"/>
        <v>0.23587223587223588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81"/>
      <c r="AI39" s="75">
        <f t="shared" si="1"/>
        <v>0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t="shared" si="0"/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0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0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0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0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0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237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238</v>
      </c>
      <c r="C47" s="139"/>
      <c r="D47" s="124" t="s">
        <v>239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240</v>
      </c>
      <c r="C48" s="139"/>
      <c r="D48" s="124" t="s">
        <v>241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242</v>
      </c>
      <c r="C49" s="139"/>
      <c r="D49" s="124" t="s">
        <v>243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244</v>
      </c>
      <c r="C50" s="139"/>
      <c r="D50" s="124" t="s">
        <v>246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v>350000</v>
      </c>
      <c r="AE50" s="146"/>
      <c r="AF50" s="127">
        <v>350000</v>
      </c>
      <c r="AG50" s="91">
        <f t="shared" si="2"/>
        <v>350000</v>
      </c>
      <c r="AH50" s="81"/>
      <c r="AI50" s="75"/>
    </row>
    <row r="51" spans="1:35" s="147" customFormat="1" ht="37.5">
      <c r="A51" s="138"/>
      <c r="B51" s="151" t="s">
        <v>244</v>
      </c>
      <c r="C51" s="139"/>
      <c r="D51" s="124" t="s">
        <v>194</v>
      </c>
      <c r="E51" s="17"/>
      <c r="F51" s="17"/>
      <c r="G51" s="17"/>
      <c r="H51" s="17"/>
      <c r="I51" s="17"/>
      <c r="J51" s="138"/>
      <c r="K51" s="138"/>
      <c r="L51" s="138"/>
      <c r="M51" s="138"/>
      <c r="N51" s="138"/>
      <c r="O51" s="138"/>
      <c r="P51" s="138"/>
      <c r="Q51" s="140"/>
      <c r="R51" s="140"/>
      <c r="S51" s="141"/>
      <c r="T51" s="142"/>
      <c r="U51" s="142"/>
      <c r="V51" s="142"/>
      <c r="W51" s="142"/>
      <c r="X51" s="140"/>
      <c r="Y51" s="140"/>
      <c r="Z51" s="143"/>
      <c r="AA51" s="143"/>
      <c r="AB51" s="144"/>
      <c r="AC51" s="145"/>
      <c r="AD51" s="148">
        <f aca="true" t="shared" si="3" ref="AD51:AD64">AE51+AF51</f>
        <v>300000</v>
      </c>
      <c r="AE51" s="146"/>
      <c r="AF51" s="127">
        <v>300000</v>
      </c>
      <c r="AG51" s="91">
        <f t="shared" si="2"/>
        <v>300000</v>
      </c>
      <c r="AH51" s="81"/>
      <c r="AI51" s="75">
        <f>AH51/AF51*100</f>
        <v>0</v>
      </c>
    </row>
    <row r="52" spans="1:35" ht="37.5">
      <c r="A52" s="15"/>
      <c r="B52" s="155" t="s">
        <v>27</v>
      </c>
      <c r="C52" s="156"/>
      <c r="D52" s="157" t="s">
        <v>96</v>
      </c>
      <c r="E52" s="158"/>
      <c r="F52" s="158"/>
      <c r="G52" s="159"/>
      <c r="H52" s="158"/>
      <c r="I52" s="158"/>
      <c r="J52" s="160"/>
      <c r="K52" s="160"/>
      <c r="L52" s="160"/>
      <c r="M52" s="160"/>
      <c r="N52" s="160"/>
      <c r="O52" s="160"/>
      <c r="P52" s="160"/>
      <c r="Q52" s="161"/>
      <c r="R52" s="161"/>
      <c r="S52" s="162"/>
      <c r="T52" s="163"/>
      <c r="U52" s="163"/>
      <c r="V52" s="163"/>
      <c r="W52" s="163"/>
      <c r="X52" s="161"/>
      <c r="Y52" s="161"/>
      <c r="Z52" s="161"/>
      <c r="AA52" s="161"/>
      <c r="AB52" s="164"/>
      <c r="AC52" s="165"/>
      <c r="AD52" s="154">
        <f t="shared" si="3"/>
        <v>6800000</v>
      </c>
      <c r="AE52" s="166"/>
      <c r="AF52" s="167">
        <f>AF53</f>
        <v>6800000</v>
      </c>
      <c r="AG52" s="167">
        <f>AG53</f>
        <v>6800000</v>
      </c>
      <c r="AH52" s="167">
        <f>AH53</f>
        <v>467883.55000000005</v>
      </c>
      <c r="AI52" s="33">
        <f>AH52/AF52*100</f>
        <v>6.880640441176471</v>
      </c>
    </row>
    <row r="53" spans="1:35" ht="60" customHeight="1">
      <c r="A53" s="15"/>
      <c r="B53" s="151" t="s">
        <v>103</v>
      </c>
      <c r="C53" s="130"/>
      <c r="D53" s="152" t="s">
        <v>188</v>
      </c>
      <c r="E53" s="16"/>
      <c r="F53" s="16"/>
      <c r="G53" s="17"/>
      <c r="H53" s="16"/>
      <c r="I53" s="16"/>
      <c r="J53" s="15"/>
      <c r="K53" s="15"/>
      <c r="L53" s="15"/>
      <c r="M53" s="15"/>
      <c r="N53" s="15"/>
      <c r="O53" s="15"/>
      <c r="P53" s="15"/>
      <c r="Q53" s="18"/>
      <c r="R53" s="18"/>
      <c r="S53" s="19"/>
      <c r="T53" s="20"/>
      <c r="U53" s="20"/>
      <c r="V53" s="20"/>
      <c r="W53" s="20"/>
      <c r="X53" s="18"/>
      <c r="Y53" s="18"/>
      <c r="Z53" s="21"/>
      <c r="AA53" s="21"/>
      <c r="AB53" s="131"/>
      <c r="AC53" s="132"/>
      <c r="AD53" s="148">
        <f t="shared" si="3"/>
        <v>6800000</v>
      </c>
      <c r="AE53" s="134"/>
      <c r="AF53" s="153">
        <v>6800000</v>
      </c>
      <c r="AG53" s="91">
        <f>AF53</f>
        <v>6800000</v>
      </c>
      <c r="AH53" s="91">
        <f>119777.42+42550.68+108008.04+76915.44+21571.25+52754.4+46306.32</f>
        <v>467883.55000000005</v>
      </c>
      <c r="AI53" s="75">
        <f>AH53/AF53*100</f>
        <v>6.880640441176471</v>
      </c>
    </row>
    <row r="54" spans="1:35" ht="19.5">
      <c r="A54" s="23">
        <v>4</v>
      </c>
      <c r="B54" s="23" t="s">
        <v>28</v>
      </c>
      <c r="C54" s="24"/>
      <c r="D54" s="25" t="s">
        <v>62</v>
      </c>
      <c r="E54" s="26"/>
      <c r="F54" s="26"/>
      <c r="G54" s="27"/>
      <c r="H54" s="26"/>
      <c r="I54" s="26"/>
      <c r="J54" s="28"/>
      <c r="K54" s="28"/>
      <c r="L54" s="28"/>
      <c r="M54" s="31" t="e">
        <f>M55+M62+M70+M74+#REF!+M80+M81+M85+M88+M92+M99+M61+M102+M103+M104+M105+M106+M107+#REF!+#REF!+M116</f>
        <v>#REF!</v>
      </c>
      <c r="N54" s="31" t="e">
        <f>N55+N62+N70+N74+#REF!+N80+N81+N85+N88+N92+N99+N61+N102+N103+N104+N105+N106+N107+#REF!+#REF!+N116</f>
        <v>#VALUE!</v>
      </c>
      <c r="O54" s="31" t="e">
        <f>O55+O62+O70+O74+#REF!+O80+O81+O85+O88+O92+O99+O61+O102+O103+O104+O105+O106+O107+#REF!+#REF!+O116</f>
        <v>#REF!</v>
      </c>
      <c r="P54" s="30" t="e">
        <f>P55+P62+P70+P74+P79+P85+P88+P96+P99+P102+P103+P104+P105+P106+P107+P116</f>
        <v>#REF!</v>
      </c>
      <c r="Q54" s="31" t="e">
        <f>Q55+Q62+Q70+Q74+#REF!+Q80+Q81+Q85+Q88+Q92+Q99+Q61+Q102+Q103+Q104+Q105+Q106+Q107+#REF!+#REF!+Q116</f>
        <v>#REF!</v>
      </c>
      <c r="R54" s="31" t="e">
        <f>R55+R62+R70+R74+#REF!+R80+R81+R85+R88+R92+R99+R61+R102+R103+R104+R105+R106+R107+#REF!+#REF!+R116</f>
        <v>#REF!</v>
      </c>
      <c r="S54" s="31" t="e">
        <f>S55+S62+S70+S74+#REF!+S80+S81+S85+S88+S92+S99+S61+S102+S103+S104+S105+S106+S107+#REF!+#REF!+S116</f>
        <v>#REF!</v>
      </c>
      <c r="T54" s="31" t="e">
        <f>T55+T62+T70+T74+#REF!+T80+T81+T85+T88+T92+T99+T61+T102+T103+T104+T105+T106+T107+#REF!+#REF!+T116</f>
        <v>#REF!</v>
      </c>
      <c r="U54" s="31" t="e">
        <f>U55+U62+U70+U74+#REF!+U80+U81+U85+U88+U92+U99+U61+U102+U103+U104+U105+U106+U107+#REF!+#REF!+U116</f>
        <v>#REF!</v>
      </c>
      <c r="V54" s="31" t="e">
        <f>V55+V62+V70+V74+#REF!+V80+V81+V85+V88+V92+V99+V61+V102+V103+V104+V105+V106+V107+#REF!+#REF!+V116</f>
        <v>#REF!</v>
      </c>
      <c r="W54" s="32" t="e">
        <f>W58+W74+#REF!+W89</f>
        <v>#REF!</v>
      </c>
      <c r="X54" s="31" t="e">
        <f>X55+X62+X70+X74+#REF!+X92+X61+X80+X99+X102+X81+X104+X85+X105+X107+X103+X106+X88</f>
        <v>#REF!</v>
      </c>
      <c r="Y54" s="33" t="e">
        <f>X54/P54*100</f>
        <v>#REF!</v>
      </c>
      <c r="Z54" s="30" t="e">
        <f>Z55+Z62+Z70+Z74+Z79+Z85+Z88+Z96+Z99+Z102+Z103+Z104+Z105+Z106+Z107+Z117</f>
        <v>#REF!</v>
      </c>
      <c r="AA54" s="31" t="e">
        <f aca="true" t="shared" si="4" ref="AA54:AA59">Z54/P54*100</f>
        <v>#REF!</v>
      </c>
      <c r="AB54" s="34" t="e">
        <f aca="true" t="shared" si="5" ref="AB54:AB59">Z54-P54</f>
        <v>#REF!</v>
      </c>
      <c r="AC54" s="35"/>
      <c r="AD54" s="154">
        <f t="shared" si="3"/>
        <v>60276619.122149006</v>
      </c>
      <c r="AE54" s="30">
        <f>AE55+AE62+AE70+AE74+AE79+AE85+AE88+AE96+AE99+AE102+AE103+AE104+AE105+AE106+AE107+AE112</f>
        <v>60276619.122149006</v>
      </c>
      <c r="AF54" s="35"/>
      <c r="AG54" s="35"/>
      <c r="AH54" s="30">
        <f>AH55+AH62+AH70+AH74+AH79+AH85+AH88+AH96+AH99+AH102+AH103+AH104+AH105+AH106+AH107+AH112</f>
        <v>31858465.830000006</v>
      </c>
      <c r="AI54" s="33">
        <f aca="true" t="shared" si="6" ref="AI54:AI85">AH54/AE54*100</f>
        <v>52.85377032417769</v>
      </c>
    </row>
    <row r="55" spans="1:35" s="2" customFormat="1" ht="37.5">
      <c r="A55" s="169" t="s">
        <v>107</v>
      </c>
      <c r="B55" s="169" t="s">
        <v>104</v>
      </c>
      <c r="C55" s="170"/>
      <c r="D55" s="85" t="s">
        <v>63</v>
      </c>
      <c r="E55" s="211">
        <v>4945</v>
      </c>
      <c r="F55" s="211" t="e">
        <f>4797.2+#REF!</f>
        <v>#REF!</v>
      </c>
      <c r="G55" s="211">
        <v>516.2</v>
      </c>
      <c r="H55" s="211">
        <v>4326</v>
      </c>
      <c r="I55" s="211">
        <f>7616.03-3700.736</f>
        <v>3915.294</v>
      </c>
      <c r="J55" s="211">
        <v>3323</v>
      </c>
      <c r="K55" s="211">
        <v>4326</v>
      </c>
      <c r="L55" s="211" t="s">
        <v>64</v>
      </c>
      <c r="M55" s="212">
        <f>M56+M57+M59+M58</f>
        <v>7956400</v>
      </c>
      <c r="N55" s="212">
        <f>N56+N57+N59+N58</f>
        <v>0</v>
      </c>
      <c r="O55" s="212">
        <f>O56+O57+O59+O58</f>
        <v>20746400</v>
      </c>
      <c r="P55" s="213">
        <f>P56+P57+P59+P58+P61</f>
        <v>11194558.2</v>
      </c>
      <c r="Q55" s="212">
        <f aca="true" t="shared" si="7" ref="Q55:V55">Q56+Q57+Q59+Q58</f>
        <v>10373200</v>
      </c>
      <c r="R55" s="212">
        <f t="shared" si="7"/>
        <v>0</v>
      </c>
      <c r="S55" s="212">
        <f t="shared" si="7"/>
        <v>0</v>
      </c>
      <c r="T55" s="212">
        <f t="shared" si="7"/>
        <v>7206768.960000001</v>
      </c>
      <c r="U55" s="212">
        <f t="shared" si="7"/>
        <v>0</v>
      </c>
      <c r="V55" s="212">
        <f t="shared" si="7"/>
        <v>13605960.81</v>
      </c>
      <c r="W55" s="212"/>
      <c r="X55" s="212">
        <f>X56+X57+X59</f>
        <v>7425268.960000001</v>
      </c>
      <c r="Y55" s="214">
        <f>X55/P55*100</f>
        <v>66.32927202075737</v>
      </c>
      <c r="Z55" s="213">
        <f>Z56+Z57+Z59+Z58+Z61</f>
        <v>14501241.25</v>
      </c>
      <c r="AA55" s="212">
        <f t="shared" si="4"/>
        <v>129.5383077288392</v>
      </c>
      <c r="AB55" s="215">
        <f t="shared" si="5"/>
        <v>3306683.0500000007</v>
      </c>
      <c r="AC55" s="216"/>
      <c r="AD55" s="180">
        <f t="shared" si="3"/>
        <v>13853491.25</v>
      </c>
      <c r="AE55" s="65">
        <f>AE56+AE57+AE59+AE58+AE61+AE60</f>
        <v>13853491.25</v>
      </c>
      <c r="AF55" s="65"/>
      <c r="AG55" s="218"/>
      <c r="AH55" s="235">
        <f>AH56+AH57+AH59+AH60+AH61</f>
        <v>7016409.44</v>
      </c>
      <c r="AI55" s="185">
        <f t="shared" si="6"/>
        <v>50.647229015285234</v>
      </c>
    </row>
    <row r="56" spans="1:35" ht="19.5">
      <c r="A56" s="38"/>
      <c r="B56" s="38"/>
      <c r="C56" s="39" t="s">
        <v>104</v>
      </c>
      <c r="D56" s="40" t="s">
        <v>65</v>
      </c>
      <c r="E56" s="41"/>
      <c r="F56" s="41"/>
      <c r="G56" s="41"/>
      <c r="H56" s="41"/>
      <c r="I56" s="42"/>
      <c r="J56" s="42"/>
      <c r="K56" s="42"/>
      <c r="L56" s="42"/>
      <c r="M56" s="43">
        <v>3915300</v>
      </c>
      <c r="N56" s="42"/>
      <c r="O56" s="44">
        <f>P56+Q56</f>
        <v>7830600</v>
      </c>
      <c r="P56" s="45">
        <f>Q56+R56</f>
        <v>3915300</v>
      </c>
      <c r="Q56" s="46">
        <v>3915300</v>
      </c>
      <c r="R56" s="47"/>
      <c r="S56" s="47"/>
      <c r="T56" s="46">
        <f>377576+371325+309994.8+333575+343665.2+183849+382449.6+208635+112435+213155+204635+153080</f>
        <v>3194374.6</v>
      </c>
      <c r="U56" s="46"/>
      <c r="V56" s="74">
        <v>4284918.23</v>
      </c>
      <c r="W56" s="74"/>
      <c r="X56" s="46">
        <f>377576+371325+309994.8+333575+343665.2+183849+382449.6+208635+112435+213155+204635+153080+218500</f>
        <v>3412874.6</v>
      </c>
      <c r="Y56" s="48">
        <f>X56/P56*100</f>
        <v>87.16763977217582</v>
      </c>
      <c r="Z56" s="49">
        <v>4284918.23</v>
      </c>
      <c r="AA56" s="50">
        <f t="shared" si="4"/>
        <v>109.44035527290374</v>
      </c>
      <c r="AB56" s="51">
        <f t="shared" si="5"/>
        <v>369618.23000000045</v>
      </c>
      <c r="AC56" s="52" t="s">
        <v>66</v>
      </c>
      <c r="AD56" s="148">
        <f t="shared" si="3"/>
        <v>4284918.23</v>
      </c>
      <c r="AE56" s="49">
        <v>4284918.23</v>
      </c>
      <c r="AF56" s="22"/>
      <c r="AG56" s="22"/>
      <c r="AH56" s="236">
        <f>451196.53+332740.16-66.81+399426.96+233852.31+419280</f>
        <v>1836429.15</v>
      </c>
      <c r="AI56" s="75">
        <f t="shared" si="6"/>
        <v>42.857974211563885</v>
      </c>
    </row>
    <row r="57" spans="1:35" ht="18" customHeight="1">
      <c r="A57" s="38"/>
      <c r="B57" s="38"/>
      <c r="C57" s="39" t="s">
        <v>105</v>
      </c>
      <c r="D57" s="40" t="s">
        <v>67</v>
      </c>
      <c r="E57" s="41"/>
      <c r="F57" s="41"/>
      <c r="G57" s="41"/>
      <c r="H57" s="41"/>
      <c r="I57" s="42"/>
      <c r="J57" s="42"/>
      <c r="K57" s="42"/>
      <c r="L57" s="42"/>
      <c r="M57" s="43">
        <v>3700700</v>
      </c>
      <c r="N57" s="42"/>
      <c r="O57" s="44">
        <f>P57+Q57</f>
        <v>12235000</v>
      </c>
      <c r="P57" s="45">
        <f>Q57+R57</f>
        <v>6117500</v>
      </c>
      <c r="Q57" s="46">
        <f>3700700+2416800</f>
        <v>6117500</v>
      </c>
      <c r="R57" s="47"/>
      <c r="S57" s="47"/>
      <c r="T57" s="46">
        <f>368514.26+320005.16+308997.12+245452.4+488986.08+424493.2+319141.43+361164.06+393613.2+515925.59</f>
        <v>3746292.5000000005</v>
      </c>
      <c r="U57" s="46"/>
      <c r="V57" s="74">
        <v>8196115.58</v>
      </c>
      <c r="W57" s="74"/>
      <c r="X57" s="46">
        <f>368514.26+320005.16+308997.12+245452.4+488986.08+424493.2+319141.43+361164.06+393613.2+515925.59</f>
        <v>3746292.5000000005</v>
      </c>
      <c r="Y57" s="48">
        <f>X57/P57*100</f>
        <v>61.238945647731924</v>
      </c>
      <c r="Z57" s="49">
        <v>8196115.58</v>
      </c>
      <c r="AA57" s="50">
        <f t="shared" si="4"/>
        <v>133.9781868410298</v>
      </c>
      <c r="AB57" s="51">
        <f t="shared" si="5"/>
        <v>2078615.58</v>
      </c>
      <c r="AC57" s="53" t="s">
        <v>68</v>
      </c>
      <c r="AD57" s="148">
        <f t="shared" si="3"/>
        <v>8062577.58</v>
      </c>
      <c r="AE57" s="54">
        <f>8196115.58-133538</f>
        <v>8062577.58</v>
      </c>
      <c r="AF57" s="22"/>
      <c r="AG57" s="22"/>
      <c r="AH57" s="236">
        <f>1043663.87+1051800.53+937923.95+734004.17+658837.16</f>
        <v>4426229.68</v>
      </c>
      <c r="AI57" s="75">
        <f t="shared" si="6"/>
        <v>54.89844452448666</v>
      </c>
    </row>
    <row r="58" spans="1:35" ht="38.25" customHeight="1" hidden="1">
      <c r="A58" s="38"/>
      <c r="B58" s="38"/>
      <c r="C58" s="39" t="s">
        <v>104</v>
      </c>
      <c r="D58" s="55" t="s">
        <v>69</v>
      </c>
      <c r="E58" s="56"/>
      <c r="F58" s="56"/>
      <c r="G58" s="56"/>
      <c r="H58" s="56"/>
      <c r="I58" s="56"/>
      <c r="J58" s="56"/>
      <c r="K58" s="56"/>
      <c r="L58" s="56"/>
      <c r="M58" s="57">
        <v>0</v>
      </c>
      <c r="N58" s="57">
        <v>0</v>
      </c>
      <c r="O58" s="57">
        <v>0</v>
      </c>
      <c r="P58" s="58">
        <v>0</v>
      </c>
      <c r="Q58" s="57">
        <v>0</v>
      </c>
      <c r="R58" s="57">
        <v>0</v>
      </c>
      <c r="S58" s="57">
        <v>0</v>
      </c>
      <c r="T58" s="57">
        <v>0</v>
      </c>
      <c r="U58" s="57"/>
      <c r="V58" s="74">
        <v>647750</v>
      </c>
      <c r="W58" s="277">
        <v>754100</v>
      </c>
      <c r="X58" s="57">
        <v>0</v>
      </c>
      <c r="Y58" s="57">
        <v>0</v>
      </c>
      <c r="Z58" s="59">
        <v>647750</v>
      </c>
      <c r="AA58" s="50" t="e">
        <f t="shared" si="4"/>
        <v>#DIV/0!</v>
      </c>
      <c r="AB58" s="60">
        <f t="shared" si="5"/>
        <v>647750</v>
      </c>
      <c r="AC58" s="278" t="s">
        <v>70</v>
      </c>
      <c r="AD58" s="148">
        <f t="shared" si="3"/>
        <v>0</v>
      </c>
      <c r="AE58" s="54">
        <v>0</v>
      </c>
      <c r="AF58" s="22"/>
      <c r="AG58" s="22"/>
      <c r="AH58" s="236"/>
      <c r="AI58" s="75" t="e">
        <f t="shared" si="6"/>
        <v>#DIV/0!</v>
      </c>
    </row>
    <row r="59" spans="1:35" ht="37.5">
      <c r="A59" s="38"/>
      <c r="B59" s="38"/>
      <c r="C59" s="39" t="s">
        <v>104</v>
      </c>
      <c r="D59" s="61" t="s">
        <v>90</v>
      </c>
      <c r="E59" s="56"/>
      <c r="F59" s="56"/>
      <c r="G59" s="56"/>
      <c r="H59" s="56"/>
      <c r="I59" s="56"/>
      <c r="J59" s="56"/>
      <c r="K59" s="56"/>
      <c r="L59" s="56"/>
      <c r="M59" s="58">
        <v>340400</v>
      </c>
      <c r="N59" s="56"/>
      <c r="O59" s="62">
        <f>P59+Q59</f>
        <v>680800</v>
      </c>
      <c r="P59" s="58">
        <f>Q59+R59</f>
        <v>340400</v>
      </c>
      <c r="Q59" s="46">
        <v>340400</v>
      </c>
      <c r="R59" s="63"/>
      <c r="S59" s="63"/>
      <c r="T59" s="46">
        <f>31760+32267.33+557+3492.67+30267.33+3492.67+2457.54+28267.33+3492.67+30267.32+3492.67+30767.33+3492.67+30267.33+3492.67+28267.33</f>
        <v>266101.86000000004</v>
      </c>
      <c r="U59" s="46"/>
      <c r="V59" s="74">
        <v>477177</v>
      </c>
      <c r="W59" s="277"/>
      <c r="X59" s="46">
        <f>31760+32267.33+557+3492.67+30267.33+3492.67+2457.54+28267.33+3492.67+30267.32+3492.67+30767.33+3492.67+30267.33+3492.67+28267.33</f>
        <v>266101.86000000004</v>
      </c>
      <c r="Y59" s="64">
        <f>X59/P59*100</f>
        <v>78.17328437132787</v>
      </c>
      <c r="Z59" s="59">
        <v>477177</v>
      </c>
      <c r="AA59" s="50">
        <f t="shared" si="4"/>
        <v>140.18125734430083</v>
      </c>
      <c r="AB59" s="60">
        <f t="shared" si="5"/>
        <v>136777</v>
      </c>
      <c r="AC59" s="278"/>
      <c r="AD59" s="148">
        <f t="shared" si="3"/>
        <v>477177</v>
      </c>
      <c r="AE59" s="54">
        <v>477177</v>
      </c>
      <c r="AF59" s="22"/>
      <c r="AG59" s="22"/>
      <c r="AH59" s="237">
        <f>70531.7+6772.4+32179.65+4172.4+2000+32179.65+4772.4+2000+33654.16+37827.5+2000</f>
        <v>228089.86</v>
      </c>
      <c r="AI59" s="75">
        <f t="shared" si="6"/>
        <v>47.79984366388154</v>
      </c>
    </row>
    <row r="60" spans="1:35" ht="19.5">
      <c r="A60" s="38"/>
      <c r="B60" s="38"/>
      <c r="C60" s="39"/>
      <c r="D60" s="77" t="s">
        <v>193</v>
      </c>
      <c r="E60" s="56"/>
      <c r="F60" s="56"/>
      <c r="G60" s="56"/>
      <c r="H60" s="56"/>
      <c r="I60" s="56"/>
      <c r="J60" s="56"/>
      <c r="K60" s="56"/>
      <c r="L60" s="56"/>
      <c r="M60" s="58"/>
      <c r="N60" s="56"/>
      <c r="O60" s="62"/>
      <c r="P60" s="58"/>
      <c r="Q60" s="46"/>
      <c r="R60" s="63"/>
      <c r="S60" s="63"/>
      <c r="T60" s="46"/>
      <c r="U60" s="46"/>
      <c r="V60" s="74"/>
      <c r="W60" s="74"/>
      <c r="X60" s="46"/>
      <c r="Y60" s="64"/>
      <c r="Z60" s="59"/>
      <c r="AA60" s="50"/>
      <c r="AB60" s="60"/>
      <c r="AC60" s="53"/>
      <c r="AD60" s="148">
        <f t="shared" si="3"/>
        <v>133538</v>
      </c>
      <c r="AE60" s="54">
        <v>133538</v>
      </c>
      <c r="AF60" s="22"/>
      <c r="AG60" s="22"/>
      <c r="AH60" s="237">
        <f>24557.74+11948.26+81164.16</f>
        <v>117670.16</v>
      </c>
      <c r="AI60" s="75">
        <f t="shared" si="6"/>
        <v>88.11735985262622</v>
      </c>
    </row>
    <row r="61" spans="1:35" ht="19.5">
      <c r="A61" s="38"/>
      <c r="B61" s="38"/>
      <c r="C61" s="39" t="s">
        <v>105</v>
      </c>
      <c r="D61" s="55" t="s">
        <v>71</v>
      </c>
      <c r="E61" s="56">
        <f>31.3+21.5</f>
        <v>52.8</v>
      </c>
      <c r="F61" s="56">
        <f>E61</f>
        <v>52.8</v>
      </c>
      <c r="G61" s="56">
        <v>0</v>
      </c>
      <c r="H61" s="56">
        <f>F61</f>
        <v>52.8</v>
      </c>
      <c r="I61" s="56">
        <v>100</v>
      </c>
      <c r="J61" s="56">
        <v>0</v>
      </c>
      <c r="K61" s="56">
        <v>52.8</v>
      </c>
      <c r="L61" s="56" t="s">
        <v>64</v>
      </c>
      <c r="M61" s="65">
        <v>821358.2</v>
      </c>
      <c r="N61" s="56" t="s">
        <v>64</v>
      </c>
      <c r="O61" s="66">
        <f>P61+Q61</f>
        <v>1642716.4</v>
      </c>
      <c r="P61" s="58">
        <f>Q61+R61</f>
        <v>821358.2</v>
      </c>
      <c r="Q61" s="67">
        <v>821358.2</v>
      </c>
      <c r="R61" s="68"/>
      <c r="S61" s="68"/>
      <c r="T61" s="67">
        <f>57313.38+61144.73+58977.29+61169.9+64788.11+63325.73+67704.89+66130.42+67368.74+72480.48</f>
        <v>640403.6699999999</v>
      </c>
      <c r="U61" s="67"/>
      <c r="V61" s="67">
        <v>895280.44</v>
      </c>
      <c r="W61" s="67"/>
      <c r="X61" s="67">
        <f>57313.38+61144.73+58977.29+61169.9+64788.11+63325.73+67704.89+66130.42+67368.74+72480.48</f>
        <v>640403.6699999999</v>
      </c>
      <c r="Y61" s="69">
        <f>X61/P61*100</f>
        <v>77.96886547184894</v>
      </c>
      <c r="Z61" s="59">
        <v>895280.44</v>
      </c>
      <c r="AA61" s="50"/>
      <c r="AB61" s="60"/>
      <c r="AC61" s="53"/>
      <c r="AD61" s="148">
        <f t="shared" si="3"/>
        <v>895280.44</v>
      </c>
      <c r="AE61" s="54">
        <f>Z61</f>
        <v>895280.44</v>
      </c>
      <c r="AF61" s="22"/>
      <c r="AG61" s="22"/>
      <c r="AH61" s="236">
        <f>137394.42+66136.03+68723.5+67679.54+68057.1</f>
        <v>407990.58999999997</v>
      </c>
      <c r="AI61" s="75">
        <f t="shared" si="6"/>
        <v>45.57126144741864</v>
      </c>
    </row>
    <row r="62" spans="1:35" s="2" customFormat="1" ht="18.75">
      <c r="A62" s="169" t="s">
        <v>108</v>
      </c>
      <c r="B62" s="169" t="s">
        <v>105</v>
      </c>
      <c r="C62" s="170"/>
      <c r="D62" s="85" t="s">
        <v>72</v>
      </c>
      <c r="E62" s="56">
        <v>5449.4</v>
      </c>
      <c r="F62" s="56">
        <f>E62</f>
        <v>5449.4</v>
      </c>
      <c r="G62" s="56">
        <v>1012.4</v>
      </c>
      <c r="H62" s="56">
        <v>4437</v>
      </c>
      <c r="I62" s="56">
        <v>8582.5</v>
      </c>
      <c r="J62" s="56">
        <v>1513.5</v>
      </c>
      <c r="K62" s="56">
        <v>4437</v>
      </c>
      <c r="L62" s="56"/>
      <c r="M62" s="89">
        <f>M63+M64+M68+M66+M69</f>
        <v>5469440</v>
      </c>
      <c r="N62" s="89">
        <f>N63+N64+N68+N66+N69</f>
        <v>0</v>
      </c>
      <c r="O62" s="89">
        <f>O63+O64+O68+O66+O69</f>
        <v>14216880</v>
      </c>
      <c r="P62" s="65">
        <f>P63+P64+P68+P66+P69+P67</f>
        <v>5469440</v>
      </c>
      <c r="Q62" s="89">
        <f>Q63+Q64+Q68+Q66+Q69</f>
        <v>8999440</v>
      </c>
      <c r="R62" s="218"/>
      <c r="S62" s="218"/>
      <c r="T62" s="89">
        <f>T63+T64+T68+T66+T69</f>
        <v>5903520.42</v>
      </c>
      <c r="U62" s="89"/>
      <c r="V62" s="89">
        <f>V63+V64+V68+V66+V69</f>
        <v>11520000</v>
      </c>
      <c r="W62" s="89"/>
      <c r="X62" s="89">
        <f>X63+X64+X68+X66+X69</f>
        <v>5074108.42</v>
      </c>
      <c r="Y62" s="75">
        <f>X62/P62*100</f>
        <v>92.77199164813949</v>
      </c>
      <c r="Z62" s="65">
        <f>Z63+Z64+Z68+Z66+Z69+Z67</f>
        <v>11520000</v>
      </c>
      <c r="AA62" s="89">
        <f>Z62/P62*100</f>
        <v>210.62485373274046</v>
      </c>
      <c r="AB62" s="220">
        <f>Z62-P62</f>
        <v>6050560</v>
      </c>
      <c r="AC62" s="218"/>
      <c r="AD62" s="180">
        <f t="shared" si="3"/>
        <v>6162464.640000001</v>
      </c>
      <c r="AE62" s="189">
        <f>AE63+AE64+AE68+AE66+AE67+AE69</f>
        <v>6162464.640000001</v>
      </c>
      <c r="AF62" s="218"/>
      <c r="AG62" s="218"/>
      <c r="AH62" s="237">
        <f>AH63+AH64+AH66+AH67+AH68+AH69</f>
        <v>3940815</v>
      </c>
      <c r="AI62" s="75">
        <f t="shared" si="6"/>
        <v>63.948683363155155</v>
      </c>
    </row>
    <row r="63" spans="1:37" ht="19.5">
      <c r="A63" s="38"/>
      <c r="B63" s="38"/>
      <c r="C63" s="39" t="s">
        <v>73</v>
      </c>
      <c r="D63" s="70" t="s">
        <v>74</v>
      </c>
      <c r="E63" s="57"/>
      <c r="F63" s="57"/>
      <c r="G63" s="57"/>
      <c r="H63" s="57"/>
      <c r="I63" s="57"/>
      <c r="J63" s="57"/>
      <c r="K63" s="57"/>
      <c r="L63" s="57"/>
      <c r="M63" s="67">
        <v>1799360</v>
      </c>
      <c r="N63" s="71"/>
      <c r="O63" s="62">
        <f>P63+Q63</f>
        <v>3598720</v>
      </c>
      <c r="P63" s="58">
        <f>Q63+R63</f>
        <v>1799360</v>
      </c>
      <c r="Q63" s="46">
        <v>1799360</v>
      </c>
      <c r="R63" s="68"/>
      <c r="S63" s="68"/>
      <c r="T63" s="46">
        <f>217430.51+24131.1+75354.44+26310+83994+124498.5+49141.8+90561.58+85135+265612.24+37000+95901+94500+48300+179347.42+146901.8+86841.09+62893.68+5505.6</f>
        <v>1799359.76</v>
      </c>
      <c r="U63" s="46"/>
      <c r="V63" s="72">
        <v>4550000</v>
      </c>
      <c r="W63" s="50"/>
      <c r="X63" s="46">
        <f>217430.51+24131.1+75354.44+26310+83994+124498.5+49141.8+90561.58+85135+265612.24+37000+95901+94500+48300+179347.42+146901.8+86841.09+62893.68+5505.6</f>
        <v>1799359.76</v>
      </c>
      <c r="Y63" s="69">
        <f>X63/P63*100</f>
        <v>99.99998666192424</v>
      </c>
      <c r="Z63" s="59">
        <v>4550000</v>
      </c>
      <c r="AA63" s="50">
        <f>Z63/P63*100</f>
        <v>252.86768628845812</v>
      </c>
      <c r="AB63" s="51">
        <f>Z63-P63</f>
        <v>2750640</v>
      </c>
      <c r="AC63" s="52"/>
      <c r="AD63" s="148">
        <f t="shared" si="3"/>
        <v>1945108.16</v>
      </c>
      <c r="AE63" s="49">
        <f>P63+P63*8.1%</f>
        <v>1945108.16</v>
      </c>
      <c r="AF63" s="22"/>
      <c r="AG63" s="22"/>
      <c r="AH63" s="238">
        <f>54575+145257+242875+44400+234550</f>
        <v>721657</v>
      </c>
      <c r="AI63" s="75">
        <f t="shared" si="6"/>
        <v>37.10112449479416</v>
      </c>
      <c r="AK63" s="210"/>
    </row>
    <row r="64" spans="1:37" ht="20.25" customHeight="1">
      <c r="A64" s="38"/>
      <c r="B64" s="38"/>
      <c r="C64" s="39" t="s">
        <v>73</v>
      </c>
      <c r="D64" s="55" t="s">
        <v>75</v>
      </c>
      <c r="E64" s="57"/>
      <c r="F64" s="57"/>
      <c r="G64" s="57"/>
      <c r="H64" s="57"/>
      <c r="I64" s="57"/>
      <c r="J64" s="57"/>
      <c r="K64" s="57"/>
      <c r="L64" s="57"/>
      <c r="M64" s="67">
        <f>45000+98000</f>
        <v>143000</v>
      </c>
      <c r="N64" s="71"/>
      <c r="O64" s="62">
        <f>P64+Q64</f>
        <v>286000</v>
      </c>
      <c r="P64" s="58">
        <f>Q64+R64</f>
        <v>143000</v>
      </c>
      <c r="Q64" s="46">
        <f>45000+98000</f>
        <v>143000</v>
      </c>
      <c r="R64" s="68"/>
      <c r="S64" s="68"/>
      <c r="T64" s="46">
        <f>30000+97950+15000</f>
        <v>142950</v>
      </c>
      <c r="U64" s="46"/>
      <c r="V64" s="72">
        <v>275000</v>
      </c>
      <c r="W64" s="50"/>
      <c r="X64" s="46">
        <f>30000+97950+15000</f>
        <v>142950</v>
      </c>
      <c r="Y64" s="69">
        <f>X64/P64*100</f>
        <v>99.96503496503496</v>
      </c>
      <c r="Z64" s="59">
        <v>275000</v>
      </c>
      <c r="AA64" s="50">
        <f>Z64/P64*100</f>
        <v>192.30769230769232</v>
      </c>
      <c r="AB64" s="51">
        <f>Z64-P64</f>
        <v>132000</v>
      </c>
      <c r="AC64" s="52"/>
      <c r="AD64" s="148">
        <f t="shared" si="3"/>
        <v>404583</v>
      </c>
      <c r="AE64" s="49">
        <f>P64+P64*8.1%+200000+50000</f>
        <v>404583</v>
      </c>
      <c r="AF64" s="22"/>
      <c r="AG64" s="22"/>
      <c r="AH64" s="236">
        <f>154575+135696+49300</f>
        <v>339571</v>
      </c>
      <c r="AI64" s="75">
        <f t="shared" si="6"/>
        <v>83.93110931502312</v>
      </c>
      <c r="AK64" s="210"/>
    </row>
    <row r="65" spans="1:35" ht="47.25" customHeight="1">
      <c r="A65" s="38"/>
      <c r="B65" s="38"/>
      <c r="C65" s="39"/>
      <c r="D65" s="234" t="s">
        <v>219</v>
      </c>
      <c r="E65" s="57"/>
      <c r="F65" s="57"/>
      <c r="G65" s="57"/>
      <c r="H65" s="57"/>
      <c r="I65" s="57"/>
      <c r="J65" s="57"/>
      <c r="K65" s="57"/>
      <c r="L65" s="57"/>
      <c r="M65" s="67"/>
      <c r="N65" s="71"/>
      <c r="O65" s="62"/>
      <c r="P65" s="58"/>
      <c r="Q65" s="46"/>
      <c r="R65" s="68"/>
      <c r="S65" s="68"/>
      <c r="T65" s="46"/>
      <c r="U65" s="46"/>
      <c r="V65" s="72"/>
      <c r="W65" s="50"/>
      <c r="X65" s="46"/>
      <c r="Y65" s="69"/>
      <c r="Z65" s="59"/>
      <c r="AA65" s="50"/>
      <c r="AB65" s="51"/>
      <c r="AC65" s="52"/>
      <c r="AD65" s="187">
        <f>AE65</f>
        <v>50000</v>
      </c>
      <c r="AE65" s="49">
        <v>50000</v>
      </c>
      <c r="AF65" s="22"/>
      <c r="AG65" s="22"/>
      <c r="AH65" s="236">
        <v>0</v>
      </c>
      <c r="AI65" s="75">
        <f t="shared" si="6"/>
        <v>0</v>
      </c>
    </row>
    <row r="66" spans="1:35" ht="18.75" customHeight="1">
      <c r="A66" s="38"/>
      <c r="B66" s="38"/>
      <c r="C66" s="39" t="s">
        <v>73</v>
      </c>
      <c r="D66" s="55" t="s">
        <v>76</v>
      </c>
      <c r="E66" s="57"/>
      <c r="F66" s="57"/>
      <c r="G66" s="57"/>
      <c r="H66" s="57"/>
      <c r="I66" s="57"/>
      <c r="J66" s="57"/>
      <c r="K66" s="57"/>
      <c r="L66" s="57"/>
      <c r="M66" s="67">
        <f>252000+175000</f>
        <v>427000</v>
      </c>
      <c r="N66" s="71"/>
      <c r="O66" s="62">
        <f>P66+Q66</f>
        <v>602000</v>
      </c>
      <c r="P66" s="58">
        <v>175000</v>
      </c>
      <c r="Q66" s="46">
        <f>252000+175000</f>
        <v>427000</v>
      </c>
      <c r="R66" s="68"/>
      <c r="S66" s="68"/>
      <c r="T66" s="46">
        <f>34750+28250+25000+31750+25000+32000+25000+45500+70000+25000+34750</f>
        <v>377000</v>
      </c>
      <c r="U66" s="46"/>
      <c r="V66" s="72">
        <v>900000</v>
      </c>
      <c r="W66" s="50"/>
      <c r="X66" s="46">
        <f>34750+28250+25000+31750+25000+32000+25000+45500+70000+25000+34750+25000</f>
        <v>402000</v>
      </c>
      <c r="Y66" s="69">
        <f>X66/P66*100</f>
        <v>229.71428571428572</v>
      </c>
      <c r="Z66" s="59">
        <v>200000</v>
      </c>
      <c r="AA66" s="50">
        <f>Z66/P66*100</f>
        <v>114.28571428571428</v>
      </c>
      <c r="AB66" s="51">
        <f>Z66-P66</f>
        <v>25000</v>
      </c>
      <c r="AC66" s="52"/>
      <c r="AD66" s="148">
        <f aca="true" t="shared" si="8" ref="AD66:AD83">AE66+AF66</f>
        <v>189175</v>
      </c>
      <c r="AE66" s="49">
        <f>P66+P66*8.1%</f>
        <v>189175</v>
      </c>
      <c r="AF66" s="22"/>
      <c r="AG66" s="22"/>
      <c r="AH66" s="236">
        <v>50000</v>
      </c>
      <c r="AI66" s="108">
        <f t="shared" si="6"/>
        <v>26.430553720100434</v>
      </c>
    </row>
    <row r="67" spans="1:37" ht="20.25" customHeight="1">
      <c r="A67" s="38"/>
      <c r="B67" s="38"/>
      <c r="C67" s="274" t="s">
        <v>77</v>
      </c>
      <c r="D67" s="55" t="s">
        <v>78</v>
      </c>
      <c r="E67" s="57"/>
      <c r="F67" s="57"/>
      <c r="G67" s="57"/>
      <c r="H67" s="57"/>
      <c r="I67" s="57"/>
      <c r="J67" s="57"/>
      <c r="K67" s="57"/>
      <c r="L67" s="57"/>
      <c r="M67" s="67"/>
      <c r="N67" s="71"/>
      <c r="O67" s="62"/>
      <c r="P67" s="58">
        <v>252000</v>
      </c>
      <c r="Q67" s="46"/>
      <c r="R67" s="68"/>
      <c r="S67" s="68"/>
      <c r="T67" s="46"/>
      <c r="U67" s="46"/>
      <c r="V67" s="72"/>
      <c r="W67" s="50"/>
      <c r="X67" s="46"/>
      <c r="Y67" s="69"/>
      <c r="Z67" s="59">
        <v>700000</v>
      </c>
      <c r="AA67" s="50"/>
      <c r="AB67" s="51"/>
      <c r="AC67" s="52"/>
      <c r="AD67" s="148">
        <f t="shared" si="8"/>
        <v>272412</v>
      </c>
      <c r="AE67" s="49">
        <f>P67+P67*8.1%</f>
        <v>272412</v>
      </c>
      <c r="AF67" s="22"/>
      <c r="AG67" s="22"/>
      <c r="AH67" s="236">
        <v>125250</v>
      </c>
      <c r="AI67" s="108">
        <f t="shared" si="6"/>
        <v>45.97815074225805</v>
      </c>
      <c r="AK67" s="210"/>
    </row>
    <row r="68" spans="1:35" ht="36.75" customHeight="1">
      <c r="A68" s="38"/>
      <c r="B68" s="38"/>
      <c r="C68" s="274"/>
      <c r="D68" s="55" t="s">
        <v>79</v>
      </c>
      <c r="E68" s="57"/>
      <c r="F68" s="57"/>
      <c r="G68" s="57"/>
      <c r="H68" s="57"/>
      <c r="I68" s="57"/>
      <c r="J68" s="57"/>
      <c r="K68" s="57"/>
      <c r="L68" s="57"/>
      <c r="M68" s="67">
        <f>1231480+1589000+180000+29600</f>
        <v>3030080</v>
      </c>
      <c r="N68" s="71"/>
      <c r="O68" s="62">
        <f>P68+Q68</f>
        <v>6060160</v>
      </c>
      <c r="P68" s="58">
        <f>Q68+R68</f>
        <v>3030080</v>
      </c>
      <c r="Q68" s="46">
        <f>1231480+1589000+180000+29600</f>
        <v>3030080</v>
      </c>
      <c r="R68" s="68"/>
      <c r="S68" s="68"/>
      <c r="T68" s="46">
        <f>95028.5+188463.6+68400+157936.81+158389.75+145896+29600+29783+198012+97921.6+193183.5+70992+147900+44992.5+21677.5+14703+58116+88392+107822+50854.4+71688+74646+6000+161762+123612.5+114360+30800+133278</f>
        <v>2684210.66</v>
      </c>
      <c r="U68" s="46"/>
      <c r="V68" s="72">
        <v>5345000</v>
      </c>
      <c r="W68" s="50"/>
      <c r="X68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8" s="64">
        <f aca="true" t="shared" si="9" ref="Y68:Y76">X68/P68*100</f>
        <v>90.08998640299927</v>
      </c>
      <c r="Z68" s="59">
        <v>5345000</v>
      </c>
      <c r="AA68" s="50">
        <f aca="true" t="shared" si="10" ref="AA68:AA76">Z68/P68*100</f>
        <v>176.39798289154083</v>
      </c>
      <c r="AB68" s="51">
        <f aca="true" t="shared" si="11" ref="AB68:AB76">Z68-P68</f>
        <v>2314920</v>
      </c>
      <c r="AC68" s="52"/>
      <c r="AD68" s="148">
        <f t="shared" si="8"/>
        <v>3275516.48</v>
      </c>
      <c r="AE68" s="49">
        <f>P68+P68*8.1%</f>
        <v>3275516.48</v>
      </c>
      <c r="AF68" s="22"/>
      <c r="AG68" s="22"/>
      <c r="AH68" s="236">
        <f>650252+225720+335728+255610+322330+98235+227636+69632+220062+47200+209500+42432</f>
        <v>2704337</v>
      </c>
      <c r="AI68" s="108">
        <f t="shared" si="6"/>
        <v>82.56215520552045</v>
      </c>
    </row>
    <row r="69" spans="1:35" ht="19.5" customHeight="1">
      <c r="A69" s="38"/>
      <c r="B69" s="38"/>
      <c r="C69" s="274"/>
      <c r="D69" s="55" t="s">
        <v>80</v>
      </c>
      <c r="E69" s="57"/>
      <c r="F69" s="57"/>
      <c r="G69" s="57"/>
      <c r="H69" s="57"/>
      <c r="I69" s="57"/>
      <c r="J69" s="57"/>
      <c r="K69" s="57"/>
      <c r="L69" s="57"/>
      <c r="M69" s="67">
        <v>70000</v>
      </c>
      <c r="N69" s="71"/>
      <c r="O69" s="62">
        <f>P69+Q69</f>
        <v>3670000</v>
      </c>
      <c r="P69" s="58">
        <v>70000</v>
      </c>
      <c r="Q69" s="62">
        <f>R69+S69</f>
        <v>3600000</v>
      </c>
      <c r="R69" s="62">
        <f>S69+T69</f>
        <v>2250000</v>
      </c>
      <c r="S69" s="62">
        <f>T69+U69</f>
        <v>1350000</v>
      </c>
      <c r="T69" s="62">
        <f>U69+V69</f>
        <v>900000</v>
      </c>
      <c r="U69" s="62">
        <f>V69+W69</f>
        <v>450000</v>
      </c>
      <c r="V69" s="62">
        <v>450000</v>
      </c>
      <c r="W69" s="50"/>
      <c r="X69" s="46">
        <v>0</v>
      </c>
      <c r="Y69" s="69">
        <f t="shared" si="9"/>
        <v>0</v>
      </c>
      <c r="Z69" s="59">
        <v>450000</v>
      </c>
      <c r="AA69" s="50">
        <f t="shared" si="10"/>
        <v>642.8571428571429</v>
      </c>
      <c r="AB69" s="51">
        <f t="shared" si="11"/>
        <v>380000</v>
      </c>
      <c r="AC69" s="52"/>
      <c r="AD69" s="148">
        <f t="shared" si="8"/>
        <v>75670</v>
      </c>
      <c r="AE69" s="49">
        <f>P69+P69*8.1%</f>
        <v>75670</v>
      </c>
      <c r="AF69" s="22"/>
      <c r="AG69" s="22"/>
      <c r="AH69" s="236">
        <v>0</v>
      </c>
      <c r="AI69" s="108">
        <f t="shared" si="6"/>
        <v>0</v>
      </c>
    </row>
    <row r="70" spans="1:35" s="2" customFormat="1" ht="19.5" customHeight="1">
      <c r="A70" s="169" t="s">
        <v>109</v>
      </c>
      <c r="B70" s="169" t="s">
        <v>106</v>
      </c>
      <c r="C70" s="170"/>
      <c r="D70" s="85" t="s">
        <v>81</v>
      </c>
      <c r="E70" s="211">
        <f>256.5+80.3</f>
        <v>336.8</v>
      </c>
      <c r="F70" s="211">
        <f>E70</f>
        <v>336.8</v>
      </c>
      <c r="G70" s="211">
        <f>74+23.5</f>
        <v>97.5</v>
      </c>
      <c r="H70" s="211">
        <f>F70-G70</f>
        <v>239.3</v>
      </c>
      <c r="I70" s="211">
        <f>1056.05-187.9-170</f>
        <v>698.15</v>
      </c>
      <c r="J70" s="211">
        <v>74.25</v>
      </c>
      <c r="K70" s="211">
        <v>239.3</v>
      </c>
      <c r="L70" s="211"/>
      <c r="M70" s="217">
        <f>M72+M73+M71</f>
        <v>625900</v>
      </c>
      <c r="N70" s="211" t="s">
        <v>64</v>
      </c>
      <c r="O70" s="217">
        <f>P70+Q70</f>
        <v>1251800</v>
      </c>
      <c r="P70" s="213">
        <f>Q70+R70</f>
        <v>625900</v>
      </c>
      <c r="Q70" s="212">
        <f>Q71+Q72+Q73</f>
        <v>625900</v>
      </c>
      <c r="R70" s="216"/>
      <c r="S70" s="216"/>
      <c r="T70" s="212">
        <f>T71+T72+T73</f>
        <v>441324.46</v>
      </c>
      <c r="U70" s="212"/>
      <c r="V70" s="217">
        <f>V72+V73+V71</f>
        <v>637789.921</v>
      </c>
      <c r="W70" s="217"/>
      <c r="X70" s="212">
        <f>X71+X72+X73</f>
        <v>441324.46</v>
      </c>
      <c r="Y70" s="214">
        <f t="shared" si="9"/>
        <v>70.51037865473718</v>
      </c>
      <c r="Z70" s="213">
        <f>Z71+Z72+Z73</f>
        <v>1169762.37</v>
      </c>
      <c r="AA70" s="212">
        <f t="shared" si="10"/>
        <v>186.892853490973</v>
      </c>
      <c r="AB70" s="215">
        <f t="shared" si="11"/>
        <v>543862.3700000001</v>
      </c>
      <c r="AC70" s="216"/>
      <c r="AD70" s="180">
        <f t="shared" si="8"/>
        <v>810557.5100000001</v>
      </c>
      <c r="AE70" s="65">
        <f>AE71+AE72+AE73</f>
        <v>810557.5100000001</v>
      </c>
      <c r="AF70" s="218"/>
      <c r="AG70" s="218"/>
      <c r="AH70" s="237">
        <f>AH71+AH72+AH73</f>
        <v>159276.88999999998</v>
      </c>
      <c r="AI70" s="75">
        <f t="shared" si="6"/>
        <v>19.65028860197717</v>
      </c>
    </row>
    <row r="71" spans="1:35" ht="19.5">
      <c r="A71" s="38"/>
      <c r="B71" s="38"/>
      <c r="C71" s="39" t="s">
        <v>82</v>
      </c>
      <c r="D71" s="55" t="s">
        <v>83</v>
      </c>
      <c r="E71" s="56"/>
      <c r="F71" s="56"/>
      <c r="G71" s="56"/>
      <c r="H71" s="56"/>
      <c r="I71" s="56"/>
      <c r="J71" s="56"/>
      <c r="K71" s="56"/>
      <c r="L71" s="56"/>
      <c r="M71" s="58">
        <v>268000</v>
      </c>
      <c r="N71" s="56"/>
      <c r="O71" s="62">
        <f>P71+Q71</f>
        <v>718512.58</v>
      </c>
      <c r="P71" s="58">
        <f>Q71+R71</f>
        <v>359256.29</v>
      </c>
      <c r="Q71" s="46">
        <f>268000+91256.29</f>
        <v>359256.29</v>
      </c>
      <c r="R71" s="68"/>
      <c r="S71" s="68"/>
      <c r="T71" s="46">
        <f>18552.24+72107.68+23190.3+47175.33+23015.91+29757.33+62844.09+23190.03</f>
        <v>299832.91000000003</v>
      </c>
      <c r="U71" s="46"/>
      <c r="V71" s="50">
        <f>P71*(0.9)</f>
        <v>323330.66099999996</v>
      </c>
      <c r="W71" s="50"/>
      <c r="X71" s="46">
        <f>18552.24+72107.68+23190.3+47175.33+23015.91+29757.33+62844.09+23190.03</f>
        <v>299832.91000000003</v>
      </c>
      <c r="Y71" s="69">
        <f t="shared" si="9"/>
        <v>83.45933483864681</v>
      </c>
      <c r="Z71" s="59">
        <v>855303.11</v>
      </c>
      <c r="AA71" s="50">
        <f t="shared" si="10"/>
        <v>238.07602923250138</v>
      </c>
      <c r="AB71" s="51">
        <f t="shared" si="11"/>
        <v>496046.82</v>
      </c>
      <c r="AC71" s="283" t="s">
        <v>84</v>
      </c>
      <c r="AD71" s="180">
        <f t="shared" si="8"/>
        <v>496098.2500000001</v>
      </c>
      <c r="AE71" s="59">
        <f>152908.76+129844.14+131189.32+126901.63-44745.6</f>
        <v>496098.2500000001</v>
      </c>
      <c r="AF71" s="136"/>
      <c r="AG71" s="136"/>
      <c r="AH71" s="237">
        <v>137793.06</v>
      </c>
      <c r="AI71" s="75">
        <f t="shared" si="6"/>
        <v>27.775356998336516</v>
      </c>
    </row>
    <row r="72" spans="1:35" ht="17.25" customHeight="1">
      <c r="A72" s="38"/>
      <c r="B72" s="38"/>
      <c r="C72" s="39" t="s">
        <v>82</v>
      </c>
      <c r="D72" s="55" t="s">
        <v>85</v>
      </c>
      <c r="E72" s="56"/>
      <c r="F72" s="56"/>
      <c r="G72" s="56"/>
      <c r="H72" s="56"/>
      <c r="I72" s="56"/>
      <c r="J72" s="56"/>
      <c r="K72" s="56"/>
      <c r="L72" s="56"/>
      <c r="M72" s="58">
        <v>170000</v>
      </c>
      <c r="N72" s="56"/>
      <c r="O72" s="62">
        <f>P72+Q72</f>
        <v>157487.42</v>
      </c>
      <c r="P72" s="58">
        <f>Q72+R72</f>
        <v>78743.71</v>
      </c>
      <c r="Q72" s="46">
        <f>170000-91256.29</f>
        <v>78743.71</v>
      </c>
      <c r="R72" s="68"/>
      <c r="S72" s="68"/>
      <c r="T72" s="46">
        <f>14766.18+14774.76+14766.18+14766.18+14766.18</f>
        <v>73839.48000000001</v>
      </c>
      <c r="U72" s="46"/>
      <c r="V72" s="50">
        <v>86161.65</v>
      </c>
      <c r="W72" s="50"/>
      <c r="X72" s="46">
        <f>14766.18+14774.76+14766.18+14766.18+14766.18</f>
        <v>73839.48000000001</v>
      </c>
      <c r="Y72" s="69">
        <f t="shared" si="9"/>
        <v>93.7719088927865</v>
      </c>
      <c r="Z72" s="59">
        <v>86161.65</v>
      </c>
      <c r="AA72" s="50">
        <f t="shared" si="10"/>
        <v>109.42035878167282</v>
      </c>
      <c r="AB72" s="51">
        <f t="shared" si="11"/>
        <v>7417.939999999988</v>
      </c>
      <c r="AC72" s="283"/>
      <c r="AD72" s="180">
        <f t="shared" si="8"/>
        <v>86161.65</v>
      </c>
      <c r="AE72" s="59">
        <f>Z72</f>
        <v>86161.65</v>
      </c>
      <c r="AF72" s="136"/>
      <c r="AG72" s="136"/>
      <c r="AH72" s="237">
        <v>16168.43</v>
      </c>
      <c r="AI72" s="75">
        <f t="shared" si="6"/>
        <v>18.765227917524793</v>
      </c>
    </row>
    <row r="73" spans="1:35" ht="19.5">
      <c r="A73" s="38"/>
      <c r="B73" s="38"/>
      <c r="C73" s="39" t="s">
        <v>82</v>
      </c>
      <c r="D73" s="55" t="s">
        <v>40</v>
      </c>
      <c r="E73" s="56">
        <f>173.3</f>
        <v>173.3</v>
      </c>
      <c r="F73" s="56">
        <f>173.3</f>
        <v>173.3</v>
      </c>
      <c r="G73" s="56">
        <v>83.4</v>
      </c>
      <c r="H73" s="56">
        <f>F73-G73</f>
        <v>89.9</v>
      </c>
      <c r="I73" s="56">
        <f>666.764-14.616-20</f>
        <v>632.148</v>
      </c>
      <c r="J73" s="56">
        <v>166.1</v>
      </c>
      <c r="K73" s="56">
        <v>89.9</v>
      </c>
      <c r="L73" s="56"/>
      <c r="M73" s="58">
        <v>187900</v>
      </c>
      <c r="N73" s="56" t="s">
        <v>64</v>
      </c>
      <c r="O73" s="62">
        <f>P73+Q73</f>
        <v>375800</v>
      </c>
      <c r="P73" s="58">
        <f>Q73+R73</f>
        <v>187900</v>
      </c>
      <c r="Q73" s="46">
        <v>187900</v>
      </c>
      <c r="R73" s="68"/>
      <c r="S73" s="68"/>
      <c r="T73" s="46">
        <f>2357.42+16410.77+16575.26+17703.29+14605.33</f>
        <v>67652.06999999999</v>
      </c>
      <c r="U73" s="46"/>
      <c r="V73" s="50">
        <v>228297.61</v>
      </c>
      <c r="W73" s="50"/>
      <c r="X73" s="46">
        <f>2357.42+16410.77+16575.26+17703.29+14605.33</f>
        <v>67652.06999999999</v>
      </c>
      <c r="Y73" s="69">
        <f t="shared" si="9"/>
        <v>36.00429483767961</v>
      </c>
      <c r="Z73" s="59">
        <v>228297.61</v>
      </c>
      <c r="AA73" s="50">
        <f t="shared" si="10"/>
        <v>121.49952634379989</v>
      </c>
      <c r="AB73" s="51">
        <f t="shared" si="11"/>
        <v>40397.609999999986</v>
      </c>
      <c r="AC73" s="283"/>
      <c r="AD73" s="180">
        <f t="shared" si="8"/>
        <v>228297.61</v>
      </c>
      <c r="AE73" s="59">
        <f>Z73</f>
        <v>228297.61</v>
      </c>
      <c r="AF73" s="88"/>
      <c r="AG73" s="136"/>
      <c r="AH73" s="237">
        <v>5315.4</v>
      </c>
      <c r="AI73" s="75">
        <f t="shared" si="6"/>
        <v>2.32827667359286</v>
      </c>
    </row>
    <row r="74" spans="1:35" s="2" customFormat="1" ht="18.75">
      <c r="A74" s="169" t="s">
        <v>86</v>
      </c>
      <c r="B74" s="169" t="s">
        <v>32</v>
      </c>
      <c r="C74" s="170"/>
      <c r="D74" s="85" t="s">
        <v>87</v>
      </c>
      <c r="E74" s="56">
        <f>122.6+1881.1</f>
        <v>2003.6999999999998</v>
      </c>
      <c r="F74" s="56">
        <f>121.8+1840</f>
        <v>1961.8</v>
      </c>
      <c r="G74" s="56">
        <v>27.7</v>
      </c>
      <c r="H74" s="56">
        <f>F74-G74</f>
        <v>1934.1</v>
      </c>
      <c r="I74" s="56">
        <f>2239.093+25.0115+616.4775</f>
        <v>2880.582</v>
      </c>
      <c r="J74" s="56">
        <v>1332.8</v>
      </c>
      <c r="K74" s="56">
        <v>1934.1</v>
      </c>
      <c r="L74" s="56"/>
      <c r="M74" s="89">
        <f aca="true" t="shared" si="12" ref="M74:V74">M75+M76+M78</f>
        <v>2123000</v>
      </c>
      <c r="N74" s="89" t="e">
        <f t="shared" si="12"/>
        <v>#VALUE!</v>
      </c>
      <c r="O74" s="89">
        <f t="shared" si="12"/>
        <v>4246000</v>
      </c>
      <c r="P74" s="65">
        <f t="shared" si="12"/>
        <v>2123000</v>
      </c>
      <c r="Q74" s="89">
        <f t="shared" si="12"/>
        <v>2123000</v>
      </c>
      <c r="R74" s="89">
        <f t="shared" si="12"/>
        <v>0</v>
      </c>
      <c r="S74" s="89">
        <f t="shared" si="12"/>
        <v>0</v>
      </c>
      <c r="T74" s="89">
        <f t="shared" si="12"/>
        <v>1314272.7199999997</v>
      </c>
      <c r="U74" s="89">
        <f t="shared" si="12"/>
        <v>0</v>
      </c>
      <c r="V74" s="89">
        <f t="shared" si="12"/>
        <v>2480800</v>
      </c>
      <c r="W74" s="89">
        <f>W75</f>
        <v>1128700</v>
      </c>
      <c r="X74" s="89">
        <f>X75+X76+X78</f>
        <v>1314272.7199999997</v>
      </c>
      <c r="Y74" s="75">
        <f t="shared" si="9"/>
        <v>61.906392840320294</v>
      </c>
      <c r="Z74" s="65">
        <f>Z75+Z76+Z78</f>
        <v>2480800</v>
      </c>
      <c r="AA74" s="89">
        <f t="shared" si="10"/>
        <v>116.85350918511541</v>
      </c>
      <c r="AB74" s="220">
        <f t="shared" si="11"/>
        <v>357800</v>
      </c>
      <c r="AC74" s="284" t="s">
        <v>117</v>
      </c>
      <c r="AD74" s="180">
        <f t="shared" si="8"/>
        <v>2653600</v>
      </c>
      <c r="AE74" s="65">
        <f>AE75+AE76+AE77+AE78</f>
        <v>2653600</v>
      </c>
      <c r="AF74" s="218"/>
      <c r="AG74" s="218"/>
      <c r="AH74" s="237">
        <f>AH75+AH76+AH77+AH78</f>
        <v>1426664.44</v>
      </c>
      <c r="AI74" s="75">
        <f t="shared" si="6"/>
        <v>53.76335694905035</v>
      </c>
    </row>
    <row r="75" spans="1:37" ht="45" customHeight="1">
      <c r="A75" s="38"/>
      <c r="B75" s="38"/>
      <c r="C75" s="39" t="s">
        <v>118</v>
      </c>
      <c r="D75" s="77" t="s">
        <v>119</v>
      </c>
      <c r="E75" s="56"/>
      <c r="F75" s="56"/>
      <c r="G75" s="56"/>
      <c r="H75" s="56"/>
      <c r="I75" s="56"/>
      <c r="J75" s="56"/>
      <c r="K75" s="56"/>
      <c r="L75" s="56"/>
      <c r="M75" s="67">
        <f>1984500</f>
        <v>1984500</v>
      </c>
      <c r="N75" s="56"/>
      <c r="O75" s="62">
        <f>P75+Q75</f>
        <v>3969000</v>
      </c>
      <c r="P75" s="58">
        <f>Q75+R75</f>
        <v>1984500</v>
      </c>
      <c r="Q75" s="46">
        <f>1984500</f>
        <v>1984500</v>
      </c>
      <c r="R75" s="78"/>
      <c r="S75" s="78"/>
      <c r="T75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5" s="46"/>
      <c r="V75" s="79">
        <v>2415500</v>
      </c>
      <c r="W75" s="50">
        <v>1128700</v>
      </c>
      <c r="X75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5" s="64">
        <f t="shared" si="9"/>
        <v>64.4961723356009</v>
      </c>
      <c r="Z75" s="59">
        <v>2415500</v>
      </c>
      <c r="AA75" s="74">
        <f t="shared" si="10"/>
        <v>121.7183169564122</v>
      </c>
      <c r="AB75" s="76">
        <f t="shared" si="11"/>
        <v>431000</v>
      </c>
      <c r="AC75" s="284"/>
      <c r="AD75" s="180">
        <f t="shared" si="8"/>
        <v>1878100</v>
      </c>
      <c r="AE75" s="59">
        <f>1705300+172800</f>
        <v>1878100</v>
      </c>
      <c r="AF75" s="88"/>
      <c r="AG75" s="136"/>
      <c r="AH75" s="240">
        <f>62630.03+17956.55+3950.44+29559.27+4385.59+44800+12555.8+15675.08+2632+17925+3943.5+218000+10667.41+29867.04+145343.16+39161.52+6301.59+26665+20410+19200+39504.93+36820.52+5556.56+48661.91+16730+3680+122696+6461.44+47587.48+8464.74</f>
        <v>1067792.56</v>
      </c>
      <c r="AI75" s="75">
        <f t="shared" si="6"/>
        <v>56.854936371865186</v>
      </c>
      <c r="AK75" s="210"/>
    </row>
    <row r="76" spans="1:35" s="1" customFormat="1" ht="17.25" customHeight="1">
      <c r="A76" s="38"/>
      <c r="B76" s="38"/>
      <c r="C76" s="39" t="s">
        <v>118</v>
      </c>
      <c r="D76" s="55" t="s">
        <v>120</v>
      </c>
      <c r="E76" s="56"/>
      <c r="F76" s="56"/>
      <c r="G76" s="56"/>
      <c r="H76" s="56"/>
      <c r="I76" s="56"/>
      <c r="J76" s="56"/>
      <c r="K76" s="56"/>
      <c r="L76" s="56"/>
      <c r="M76" s="67">
        <f>117815</f>
        <v>117815</v>
      </c>
      <c r="N76" s="56"/>
      <c r="O76" s="62">
        <f>P76+Q76</f>
        <v>235630</v>
      </c>
      <c r="P76" s="58">
        <f>Q76+R76</f>
        <v>117815</v>
      </c>
      <c r="Q76" s="46">
        <f>117815</f>
        <v>117815</v>
      </c>
      <c r="R76" s="78"/>
      <c r="S76" s="78"/>
      <c r="T76" s="46">
        <f>5874.96+10528.68+2678.52+4068.84+4824.24+994.56</f>
        <v>28969.8</v>
      </c>
      <c r="U76" s="46"/>
      <c r="V76" s="79">
        <v>36100</v>
      </c>
      <c r="W76" s="50"/>
      <c r="X76" s="46">
        <f>5874.96+10528.68+2678.52+4068.84+4824.24+994.56</f>
        <v>28969.8</v>
      </c>
      <c r="Y76" s="69">
        <f t="shared" si="9"/>
        <v>24.589228875779824</v>
      </c>
      <c r="Z76" s="59">
        <v>36100</v>
      </c>
      <c r="AA76" s="74">
        <f t="shared" si="10"/>
        <v>30.641259601918264</v>
      </c>
      <c r="AB76" s="76">
        <f t="shared" si="11"/>
        <v>-81715</v>
      </c>
      <c r="AC76" s="284"/>
      <c r="AD76" s="180">
        <f t="shared" si="8"/>
        <v>36100</v>
      </c>
      <c r="AE76" s="59">
        <f>Z76</f>
        <v>36100</v>
      </c>
      <c r="AF76" s="136"/>
      <c r="AG76" s="88"/>
      <c r="AH76" s="237">
        <f>10774.62+6345.33+3406.94</f>
        <v>20526.89</v>
      </c>
      <c r="AI76" s="75">
        <f t="shared" si="6"/>
        <v>56.86119113573407</v>
      </c>
    </row>
    <row r="77" spans="1:35" s="1" customFormat="1" ht="17.25" customHeight="1">
      <c r="A77" s="38"/>
      <c r="B77" s="38"/>
      <c r="C77" s="39"/>
      <c r="D77" s="55" t="s">
        <v>121</v>
      </c>
      <c r="E77" s="56"/>
      <c r="F77" s="56"/>
      <c r="G77" s="56"/>
      <c r="H77" s="56"/>
      <c r="I77" s="56"/>
      <c r="J77" s="56"/>
      <c r="K77" s="56"/>
      <c r="L77" s="56"/>
      <c r="M77" s="67"/>
      <c r="N77" s="56"/>
      <c r="O77" s="62"/>
      <c r="P77" s="58"/>
      <c r="Q77" s="46"/>
      <c r="R77" s="78"/>
      <c r="S77" s="78"/>
      <c r="T77" s="46"/>
      <c r="U77" s="46"/>
      <c r="V77" s="79"/>
      <c r="W77" s="50"/>
      <c r="X77" s="46"/>
      <c r="Y77" s="69"/>
      <c r="Z77" s="59"/>
      <c r="AA77" s="74"/>
      <c r="AB77" s="76"/>
      <c r="AC77" s="284"/>
      <c r="AD77" s="180">
        <f t="shared" si="8"/>
        <v>29200</v>
      </c>
      <c r="AE77" s="59">
        <f>Z78</f>
        <v>29200</v>
      </c>
      <c r="AF77" s="136"/>
      <c r="AG77" s="88"/>
      <c r="AH77" s="237">
        <f>991.77+516.4+534.22+353.35+424.2</f>
        <v>2819.94</v>
      </c>
      <c r="AI77" s="75">
        <f t="shared" si="6"/>
        <v>9.657328767123289</v>
      </c>
    </row>
    <row r="78" spans="1:35" s="1" customFormat="1" ht="36" customHeight="1">
      <c r="A78" s="38"/>
      <c r="B78" s="38"/>
      <c r="C78" s="39" t="s">
        <v>118</v>
      </c>
      <c r="D78" s="77" t="s">
        <v>122</v>
      </c>
      <c r="E78" s="56">
        <v>22463.7</v>
      </c>
      <c r="F78" s="56">
        <f>7156.8+15302.9</f>
        <v>22459.7</v>
      </c>
      <c r="G78" s="56">
        <f>1375.6+2420.3</f>
        <v>3795.9</v>
      </c>
      <c r="H78" s="56">
        <v>18663.8</v>
      </c>
      <c r="I78" s="56">
        <v>26758.69305</v>
      </c>
      <c r="J78" s="56" t="e">
        <f>#REF!+#REF!+#REF!+#REF!</f>
        <v>#REF!</v>
      </c>
      <c r="K78" s="56" t="e">
        <f>#REF!+#REF!+#REF!+#REF!</f>
        <v>#REF!</v>
      </c>
      <c r="L78" s="56"/>
      <c r="M78" s="67">
        <v>20685</v>
      </c>
      <c r="N78" s="56" t="s">
        <v>64</v>
      </c>
      <c r="O78" s="62">
        <f>P78+Q78</f>
        <v>41370</v>
      </c>
      <c r="P78" s="58">
        <f>Q78+R78</f>
        <v>20685</v>
      </c>
      <c r="Q78" s="46">
        <v>20685</v>
      </c>
      <c r="R78" s="78"/>
      <c r="S78" s="78"/>
      <c r="T78" s="46">
        <f>848.74+587.05+557.5+750.92+889.87+917.3+825</f>
        <v>5376.38</v>
      </c>
      <c r="U78" s="46"/>
      <c r="V78" s="79">
        <v>29200</v>
      </c>
      <c r="W78" s="50"/>
      <c r="X78" s="46">
        <f>848.74+587.05+557.5+750.92+889.87+917.3+825</f>
        <v>5376.38</v>
      </c>
      <c r="Y78" s="69">
        <f>X78/P78*100</f>
        <v>25.991684795745712</v>
      </c>
      <c r="Z78" s="59">
        <v>29200</v>
      </c>
      <c r="AA78" s="74">
        <f>Z78/P78*100</f>
        <v>141.16509547981627</v>
      </c>
      <c r="AB78" s="76">
        <f>Z78-P78</f>
        <v>8515</v>
      </c>
      <c r="AC78" s="284"/>
      <c r="AD78" s="180">
        <f t="shared" si="8"/>
        <v>710200</v>
      </c>
      <c r="AE78" s="59">
        <f>680402.75+29797.25</f>
        <v>710200</v>
      </c>
      <c r="AF78" s="136"/>
      <c r="AG78" s="88"/>
      <c r="AH78" s="237">
        <f>94143.81+11352.5+2497.55+26627.8+5858.11+9600+11352.5+2497.55+1195.2+23010+21462.63+4805.26+19681.65+31099.8+6841.95+1970.08+433.42+3845+10755+2366.1+36171.43+7957.71</f>
        <v>335525.05</v>
      </c>
      <c r="AI78" s="75">
        <f t="shared" si="6"/>
        <v>47.24374119966207</v>
      </c>
    </row>
    <row r="79" spans="1:35" s="2" customFormat="1" ht="18.75">
      <c r="A79" s="169"/>
      <c r="B79" s="169" t="s">
        <v>33</v>
      </c>
      <c r="C79" s="170"/>
      <c r="D79" s="61" t="s">
        <v>123</v>
      </c>
      <c r="E79" s="56"/>
      <c r="F79" s="56"/>
      <c r="G79" s="56"/>
      <c r="H79" s="56"/>
      <c r="I79" s="56"/>
      <c r="J79" s="56"/>
      <c r="K79" s="56"/>
      <c r="L79" s="56"/>
      <c r="M79" s="89"/>
      <c r="N79" s="83"/>
      <c r="O79" s="66"/>
      <c r="P79" s="65" t="e">
        <f>P80+P81+#REF!+P82+P83</f>
        <v>#REF!</v>
      </c>
      <c r="Q79" s="221"/>
      <c r="R79" s="218"/>
      <c r="S79" s="218"/>
      <c r="T79" s="221"/>
      <c r="U79" s="221"/>
      <c r="V79" s="89"/>
      <c r="W79" s="89"/>
      <c r="X79" s="221"/>
      <c r="Y79" s="222"/>
      <c r="Z79" s="65" t="e">
        <f>Z80+Z81+#REF!+Z82+Z83</f>
        <v>#REF!</v>
      </c>
      <c r="AA79" s="89"/>
      <c r="AB79" s="220"/>
      <c r="AC79" s="218"/>
      <c r="AD79" s="180">
        <f t="shared" si="8"/>
        <v>26927959.392149</v>
      </c>
      <c r="AE79" s="65">
        <f>AE80+AE81+AE82+AE83+AE84</f>
        <v>26927959.392149</v>
      </c>
      <c r="AF79" s="218"/>
      <c r="AG79" s="218"/>
      <c r="AH79" s="237">
        <f>AH80+AH81+AH82+AH83</f>
        <v>14968286.920000002</v>
      </c>
      <c r="AI79" s="75">
        <f t="shared" si="6"/>
        <v>55.58641374200858</v>
      </c>
    </row>
    <row r="80" spans="1:35" ht="18.75">
      <c r="A80" s="36" t="s">
        <v>124</v>
      </c>
      <c r="B80" s="36"/>
      <c r="C80" s="39" t="s">
        <v>125</v>
      </c>
      <c r="D80" s="77" t="s">
        <v>126</v>
      </c>
      <c r="E80" s="57"/>
      <c r="F80" s="57"/>
      <c r="G80" s="57"/>
      <c r="H80" s="57"/>
      <c r="I80" s="57"/>
      <c r="J80" s="57"/>
      <c r="K80" s="57"/>
      <c r="L80" s="57"/>
      <c r="M80" s="58">
        <v>5104000</v>
      </c>
      <c r="N80" s="71"/>
      <c r="O80" s="62">
        <f>P80+Q80</f>
        <v>8219357.757999999</v>
      </c>
      <c r="P80" s="58">
        <f>Q80+R80</f>
        <v>4109678.8789999997</v>
      </c>
      <c r="Q80" s="67">
        <f>5104000-994321.121</f>
        <v>4109678.8789999997</v>
      </c>
      <c r="R80" s="78"/>
      <c r="S80" s="78"/>
      <c r="T80" s="67">
        <f>307554.9+660163.29+188518.82+197590.73+136793.57+167192.17+227989.31+243188.57+455978.54</f>
        <v>2584969.9</v>
      </c>
      <c r="U80" s="67"/>
      <c r="V80" s="67">
        <v>0</v>
      </c>
      <c r="W80" s="67"/>
      <c r="X80" s="67">
        <f>307554.9+660163.29+188518.82+197590.73+136793.57+167192.17+227989.31+243188.57+455978.54+258387.82</f>
        <v>2843357.7199999997</v>
      </c>
      <c r="Y80" s="69">
        <f>X80/P80*100</f>
        <v>69.18685872342095</v>
      </c>
      <c r="Z80" s="59">
        <v>8044223</v>
      </c>
      <c r="AA80" s="67">
        <f>Z80/P80*100</f>
        <v>195.73848071451718</v>
      </c>
      <c r="AB80" s="80">
        <f>Z80-P80</f>
        <v>3934544.1210000003</v>
      </c>
      <c r="AC80" s="68" t="s">
        <v>127</v>
      </c>
      <c r="AD80" s="180">
        <f t="shared" si="8"/>
        <v>4442562.868199</v>
      </c>
      <c r="AE80" s="59">
        <f>P80+P80*8.1%</f>
        <v>4442562.868199</v>
      </c>
      <c r="AF80" s="136"/>
      <c r="AG80" s="136"/>
      <c r="AH80" s="237">
        <f>948917.94+163090.75+163090.74+179399.82+163090.75+228327.04+97854.45+195708.9+163090.75+146781.67+163090.75+652362.98</f>
        <v>3264806.54</v>
      </c>
      <c r="AI80" s="75">
        <f t="shared" si="6"/>
        <v>73.48925916997865</v>
      </c>
    </row>
    <row r="81" spans="1:35" ht="18.75">
      <c r="A81" s="36" t="s">
        <v>128</v>
      </c>
      <c r="B81" s="36"/>
      <c r="C81" s="39" t="s">
        <v>125</v>
      </c>
      <c r="D81" s="55" t="s">
        <v>129</v>
      </c>
      <c r="E81" s="57"/>
      <c r="F81" s="57"/>
      <c r="G81" s="57"/>
      <c r="H81" s="57"/>
      <c r="I81" s="57"/>
      <c r="J81" s="57"/>
      <c r="K81" s="57"/>
      <c r="L81" s="57"/>
      <c r="M81" s="58">
        <v>15799500</v>
      </c>
      <c r="N81" s="71"/>
      <c r="O81" s="62">
        <f>P81+Q81</f>
        <v>38043075.9</v>
      </c>
      <c r="P81" s="58">
        <f>Q81+R81</f>
        <v>19021537.95</v>
      </c>
      <c r="Q81" s="67">
        <f>15542500+3519037.95-40000</f>
        <v>19021537.95</v>
      </c>
      <c r="R81" s="78"/>
      <c r="S81" s="78"/>
      <c r="T81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1" s="67"/>
      <c r="V81" s="67">
        <f>41814854.5-3647031.42</f>
        <v>38167823.08</v>
      </c>
      <c r="W81" s="67"/>
      <c r="X81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1" s="69">
        <f>X81/P81*100</f>
        <v>83.42234409074163</v>
      </c>
      <c r="Z81" s="59">
        <f>13776827+8308804.5+7685000</f>
        <v>29770631.5</v>
      </c>
      <c r="AA81" s="67">
        <f>Z81/P81*100</f>
        <v>156.51011804752625</v>
      </c>
      <c r="AB81" s="80">
        <f>Z81-P81</f>
        <v>10749093.55</v>
      </c>
      <c r="AC81" s="78"/>
      <c r="AD81" s="180">
        <f t="shared" si="8"/>
        <v>20562282.52395</v>
      </c>
      <c r="AE81" s="59">
        <f>P81+P81*8.1%</f>
        <v>20562282.52395</v>
      </c>
      <c r="AF81" s="136"/>
      <c r="AG81" s="136"/>
      <c r="AH81" s="237">
        <f>5188613.57+805957.41+217308.34+168393.6+248352.38+168297.6+725973.54+436443.28+77738.63+398809.3+124176.19+431084.58+345928.06+369501.07+177428.71+452843.89+278796.45+112957.7+364145.65+229920.58+380809.85</f>
        <v>11703480.38</v>
      </c>
      <c r="AI81" s="75">
        <f t="shared" si="6"/>
        <v>56.91722388488888</v>
      </c>
    </row>
    <row r="82" spans="1:35" ht="16.5" customHeight="1">
      <c r="A82" s="36"/>
      <c r="B82" s="36"/>
      <c r="C82" s="39"/>
      <c r="D82" s="55" t="s">
        <v>130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400000</v>
      </c>
      <c r="AA82" s="74"/>
      <c r="AB82" s="76"/>
      <c r="AC82" s="136"/>
      <c r="AD82" s="180">
        <f t="shared" si="8"/>
        <v>200000</v>
      </c>
      <c r="AE82" s="59">
        <f>Z82-200000</f>
        <v>200000</v>
      </c>
      <c r="AF82" s="136"/>
      <c r="AG82" s="136"/>
      <c r="AH82" s="237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131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>
        <v>0</v>
      </c>
      <c r="Q83" s="67"/>
      <c r="R83" s="78"/>
      <c r="S83" s="78"/>
      <c r="T83" s="67"/>
      <c r="U83" s="67"/>
      <c r="V83" s="67"/>
      <c r="W83" s="67"/>
      <c r="X83" s="67"/>
      <c r="Y83" s="69"/>
      <c r="Z83" s="59">
        <v>1723114</v>
      </c>
      <c r="AA83" s="74"/>
      <c r="AB83" s="76"/>
      <c r="AC83" s="136"/>
      <c r="AD83" s="180">
        <f t="shared" si="8"/>
        <v>1090324</v>
      </c>
      <c r="AE83" s="59">
        <f>1723114-632790</f>
        <v>1090324</v>
      </c>
      <c r="AF83" s="136"/>
      <c r="AG83" s="136"/>
      <c r="AH83" s="237">
        <v>0</v>
      </c>
      <c r="AI83" s="75">
        <f t="shared" si="6"/>
        <v>0</v>
      </c>
    </row>
    <row r="84" spans="1:35" ht="18.75">
      <c r="A84" s="36"/>
      <c r="B84" s="36"/>
      <c r="C84" s="39"/>
      <c r="D84" s="55" t="s">
        <v>235</v>
      </c>
      <c r="E84" s="56"/>
      <c r="F84" s="56"/>
      <c r="G84" s="56"/>
      <c r="H84" s="56"/>
      <c r="I84" s="56"/>
      <c r="J84" s="56"/>
      <c r="K84" s="56"/>
      <c r="L84" s="56"/>
      <c r="M84" s="82"/>
      <c r="N84" s="83"/>
      <c r="O84" s="84"/>
      <c r="P84" s="58"/>
      <c r="Q84" s="67"/>
      <c r="R84" s="78"/>
      <c r="S84" s="78"/>
      <c r="T84" s="67"/>
      <c r="U84" s="67"/>
      <c r="V84" s="67"/>
      <c r="W84" s="67"/>
      <c r="X84" s="67"/>
      <c r="Y84" s="69"/>
      <c r="Z84" s="59"/>
      <c r="AA84" s="74"/>
      <c r="AB84" s="76"/>
      <c r="AC84" s="136"/>
      <c r="AD84" s="180">
        <f>AE84</f>
        <v>632790</v>
      </c>
      <c r="AE84" s="59">
        <v>632790</v>
      </c>
      <c r="AF84" s="136"/>
      <c r="AG84" s="136"/>
      <c r="AH84" s="237">
        <v>0</v>
      </c>
      <c r="AI84" s="75">
        <f t="shared" si="6"/>
        <v>0</v>
      </c>
    </row>
    <row r="85" spans="1:35" s="2" customFormat="1" ht="18.75">
      <c r="A85" s="169" t="s">
        <v>132</v>
      </c>
      <c r="B85" s="169" t="s">
        <v>34</v>
      </c>
      <c r="C85" s="170" t="s">
        <v>134</v>
      </c>
      <c r="D85" s="85" t="s">
        <v>135</v>
      </c>
      <c r="E85" s="56"/>
      <c r="F85" s="56"/>
      <c r="G85" s="56"/>
      <c r="H85" s="56"/>
      <c r="I85" s="56"/>
      <c r="J85" s="56"/>
      <c r="K85" s="56"/>
      <c r="L85" s="56"/>
      <c r="M85" s="65">
        <v>0</v>
      </c>
      <c r="N85" s="83"/>
      <c r="O85" s="66">
        <f>P85+Q85</f>
        <v>514000</v>
      </c>
      <c r="P85" s="65">
        <f>Q85+R85</f>
        <v>257000</v>
      </c>
      <c r="Q85" s="89">
        <v>257000</v>
      </c>
      <c r="R85" s="218"/>
      <c r="S85" s="218"/>
      <c r="T85" s="89">
        <f>23700.62+50875.25+50875.25+50775.25</f>
        <v>176226.37</v>
      </c>
      <c r="U85" s="89"/>
      <c r="V85" s="89">
        <f>P85*(0.9)</f>
        <v>231300</v>
      </c>
      <c r="W85" s="89"/>
      <c r="X85" s="89">
        <f>23700.62+50875.25+50875.25+50775.25</f>
        <v>176226.37</v>
      </c>
      <c r="Y85" s="75">
        <f>X85/P85*100</f>
        <v>68.57057198443579</v>
      </c>
      <c r="Z85" s="189">
        <v>346347.28</v>
      </c>
      <c r="AA85" s="89">
        <f>Z85/P85*100</f>
        <v>134.7654785992218</v>
      </c>
      <c r="AB85" s="220">
        <f>Z85-P85</f>
        <v>89347.28000000003</v>
      </c>
      <c r="AC85" s="218"/>
      <c r="AD85" s="180">
        <f aca="true" t="shared" si="13" ref="AD85:AD94">AE85+AF85</f>
        <v>442817</v>
      </c>
      <c r="AE85" s="189">
        <f>AE86+AE87</f>
        <v>442817</v>
      </c>
      <c r="AF85" s="218"/>
      <c r="AG85" s="218"/>
      <c r="AH85" s="237">
        <f>AH86</f>
        <v>277817</v>
      </c>
      <c r="AI85" s="75">
        <f t="shared" si="6"/>
        <v>62.73855791444321</v>
      </c>
    </row>
    <row r="86" spans="1:35" s="2" customFormat="1" ht="37.5">
      <c r="A86" s="169"/>
      <c r="B86" s="169"/>
      <c r="C86" s="170"/>
      <c r="D86" s="55" t="s">
        <v>220</v>
      </c>
      <c r="E86" s="56"/>
      <c r="F86" s="56"/>
      <c r="G86" s="56"/>
      <c r="H86" s="56"/>
      <c r="I86" s="56"/>
      <c r="J86" s="56"/>
      <c r="K86" s="56"/>
      <c r="L86" s="56"/>
      <c r="M86" s="65"/>
      <c r="N86" s="83"/>
      <c r="O86" s="66"/>
      <c r="P86" s="65"/>
      <c r="Q86" s="89"/>
      <c r="R86" s="218"/>
      <c r="S86" s="218"/>
      <c r="T86" s="89"/>
      <c r="U86" s="89"/>
      <c r="V86" s="89"/>
      <c r="W86" s="89"/>
      <c r="X86" s="89"/>
      <c r="Y86" s="75"/>
      <c r="Z86" s="189"/>
      <c r="AA86" s="89"/>
      <c r="AB86" s="220"/>
      <c r="AC86" s="218"/>
      <c r="AD86" s="223">
        <f t="shared" si="13"/>
        <v>427817</v>
      </c>
      <c r="AE86" s="59">
        <f>AH86+150000</f>
        <v>427817</v>
      </c>
      <c r="AF86" s="218"/>
      <c r="AG86" s="218"/>
      <c r="AH86" s="239">
        <f>250800+27017</f>
        <v>277817</v>
      </c>
      <c r="AI86" s="75">
        <f aca="true" t="shared" si="14" ref="AI86:AI114">AH86/AE86*100</f>
        <v>64.93827968500551</v>
      </c>
    </row>
    <row r="87" spans="1:35" s="2" customFormat="1" ht="56.25">
      <c r="A87" s="169"/>
      <c r="B87" s="169"/>
      <c r="C87" s="170"/>
      <c r="D87" s="55" t="s">
        <v>248</v>
      </c>
      <c r="E87" s="56"/>
      <c r="F87" s="56"/>
      <c r="G87" s="56"/>
      <c r="H87" s="56"/>
      <c r="I87" s="56"/>
      <c r="J87" s="56"/>
      <c r="K87" s="56"/>
      <c r="L87" s="56"/>
      <c r="M87" s="65"/>
      <c r="N87" s="83"/>
      <c r="O87" s="66"/>
      <c r="P87" s="65"/>
      <c r="Q87" s="89"/>
      <c r="R87" s="218"/>
      <c r="S87" s="218"/>
      <c r="T87" s="89"/>
      <c r="U87" s="89"/>
      <c r="V87" s="89"/>
      <c r="W87" s="89"/>
      <c r="X87" s="89"/>
      <c r="Y87" s="75"/>
      <c r="Z87" s="189"/>
      <c r="AA87" s="89"/>
      <c r="AB87" s="220"/>
      <c r="AC87" s="218"/>
      <c r="AD87" s="223">
        <f t="shared" si="13"/>
        <v>15000</v>
      </c>
      <c r="AE87" s="59">
        <v>15000</v>
      </c>
      <c r="AF87" s="218"/>
      <c r="AG87" s="218"/>
      <c r="AH87" s="239">
        <v>0</v>
      </c>
      <c r="AI87" s="75"/>
    </row>
    <row r="88" spans="1:35" s="2" customFormat="1" ht="16.5" customHeight="1">
      <c r="A88" s="169" t="s">
        <v>136</v>
      </c>
      <c r="B88" s="169" t="s">
        <v>35</v>
      </c>
      <c r="C88" s="170" t="s">
        <v>138</v>
      </c>
      <c r="D88" s="85" t="s">
        <v>139</v>
      </c>
      <c r="E88" s="56"/>
      <c r="F88" s="56"/>
      <c r="G88" s="56"/>
      <c r="H88" s="56"/>
      <c r="I88" s="56"/>
      <c r="J88" s="56"/>
      <c r="K88" s="56"/>
      <c r="L88" s="56"/>
      <c r="M88" s="89">
        <f>L88</f>
        <v>0</v>
      </c>
      <c r="N88" s="83"/>
      <c r="O88" s="66">
        <f>O89</f>
        <v>1930883.46</v>
      </c>
      <c r="P88" s="65">
        <f>P89</f>
        <v>1930883.46</v>
      </c>
      <c r="Q88" s="89">
        <f>P88</f>
        <v>1930883.46</v>
      </c>
      <c r="R88" s="63"/>
      <c r="S88" s="63"/>
      <c r="T88" s="89">
        <f>T89</f>
        <v>859642.65</v>
      </c>
      <c r="U88" s="89"/>
      <c r="V88" s="89">
        <f>P88*(0.9)</f>
        <v>1737795.114</v>
      </c>
      <c r="W88" s="89"/>
      <c r="X88" s="89">
        <f>X89</f>
        <v>859642.65</v>
      </c>
      <c r="Y88" s="75">
        <f>X88/P88*100</f>
        <v>44.52069054442053</v>
      </c>
      <c r="Z88" s="189">
        <f>Z89</f>
        <v>17397438</v>
      </c>
      <c r="AA88" s="89">
        <f aca="true" t="shared" si="15" ref="AA88:AA94">Z88/P88*100</f>
        <v>901.0092198935714</v>
      </c>
      <c r="AB88" s="220">
        <f aca="true" t="shared" si="16" ref="AB88:AB94">Z88-P88</f>
        <v>15466554.54</v>
      </c>
      <c r="AC88" s="63"/>
      <c r="AD88" s="180">
        <f t="shared" si="13"/>
        <v>7173700</v>
      </c>
      <c r="AE88" s="189">
        <f>AE89+AE95</f>
        <v>7173700</v>
      </c>
      <c r="AF88" s="218"/>
      <c r="AG88" s="218"/>
      <c r="AH88" s="237">
        <f>AH89</f>
        <v>3332541.4400000004</v>
      </c>
      <c r="AI88" s="75">
        <f t="shared" si="14"/>
        <v>46.45498752387193</v>
      </c>
    </row>
    <row r="89" spans="1:37" ht="57" customHeight="1">
      <c r="A89" s="36"/>
      <c r="B89" s="36"/>
      <c r="C89" s="39"/>
      <c r="D89" s="55" t="s">
        <v>245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6">
        <f>P89</f>
        <v>1930883.46</v>
      </c>
      <c r="P89" s="58">
        <v>1930883.46</v>
      </c>
      <c r="Q89" s="67">
        <v>1589311.46</v>
      </c>
      <c r="R89" s="68"/>
      <c r="S89" s="68"/>
      <c r="T89" s="50">
        <f>201636.21+106959.16+388332+795.26+161920.02</f>
        <v>859642.65</v>
      </c>
      <c r="U89" s="50"/>
      <c r="V89" s="50">
        <f>V90+V91</f>
        <v>17397438</v>
      </c>
      <c r="W89" s="50">
        <v>10385400</v>
      </c>
      <c r="X89" s="67">
        <f>201636.21+106959.16+388332+795.26+161920.02</f>
        <v>859642.65</v>
      </c>
      <c r="Y89" s="69">
        <f>X89/P89*100</f>
        <v>44.52069054442053</v>
      </c>
      <c r="Z89" s="59">
        <v>17397438</v>
      </c>
      <c r="AA89" s="50">
        <f t="shared" si="15"/>
        <v>901.0092198935714</v>
      </c>
      <c r="AB89" s="51">
        <f t="shared" si="16"/>
        <v>15466554.54</v>
      </c>
      <c r="AC89" s="78" t="s">
        <v>140</v>
      </c>
      <c r="AD89" s="223">
        <f t="shared" si="13"/>
        <v>7023700</v>
      </c>
      <c r="AE89" s="190">
        <v>7023700</v>
      </c>
      <c r="AF89" s="63"/>
      <c r="AG89" s="63"/>
      <c r="AH89" s="239">
        <f>956537.59+157430.78+70729.77+216774.62+262291.41+34296+344138.34+1517.33+279207.2+343997.88+2676.91+268283.02+9985.34+221829.51+112845.74+29553.96+20446.04</f>
        <v>3332541.4400000004</v>
      </c>
      <c r="AI89" s="69">
        <f t="shared" si="14"/>
        <v>47.447092558053455</v>
      </c>
      <c r="AK89" s="93"/>
    </row>
    <row r="90" spans="1:35" ht="18.75" hidden="1">
      <c r="A90" s="36"/>
      <c r="B90" s="36"/>
      <c r="C90" s="39"/>
      <c r="D90" s="86" t="s">
        <v>141</v>
      </c>
      <c r="E90" s="56"/>
      <c r="F90" s="56"/>
      <c r="G90" s="56"/>
      <c r="H90" s="56"/>
      <c r="I90" s="56"/>
      <c r="J90" s="56"/>
      <c r="K90" s="56"/>
      <c r="L90" s="56"/>
      <c r="M90" s="65">
        <v>0</v>
      </c>
      <c r="N90" s="83"/>
      <c r="O90" s="62"/>
      <c r="P90" s="87">
        <v>1145765.29</v>
      </c>
      <c r="Q90" s="67"/>
      <c r="R90" s="88"/>
      <c r="S90" s="88"/>
      <c r="T90" s="74"/>
      <c r="U90" s="74"/>
      <c r="V90" s="67">
        <v>12523990</v>
      </c>
      <c r="W90" s="67"/>
      <c r="X90" s="89"/>
      <c r="Y90" s="75"/>
      <c r="Z90" s="90">
        <v>12523990</v>
      </c>
      <c r="AA90" s="74">
        <f t="shared" si="15"/>
        <v>1093.0676735721327</v>
      </c>
      <c r="AB90" s="76">
        <f t="shared" si="16"/>
        <v>11378224.71</v>
      </c>
      <c r="AC90" s="136"/>
      <c r="AD90" s="223">
        <f t="shared" si="13"/>
        <v>0</v>
      </c>
      <c r="AE90" s="59"/>
      <c r="AF90" s="136"/>
      <c r="AG90" s="136"/>
      <c r="AH90" s="239"/>
      <c r="AI90" s="69" t="e">
        <f t="shared" si="14"/>
        <v>#DIV/0!</v>
      </c>
    </row>
    <row r="91" spans="1:35" ht="18.75" hidden="1">
      <c r="A91" s="36"/>
      <c r="B91" s="36"/>
      <c r="C91" s="39"/>
      <c r="D91" s="86" t="s">
        <v>142</v>
      </c>
      <c r="E91" s="56"/>
      <c r="F91" s="56"/>
      <c r="G91" s="56"/>
      <c r="H91" s="56"/>
      <c r="I91" s="56"/>
      <c r="J91" s="56"/>
      <c r="K91" s="56"/>
      <c r="L91" s="56"/>
      <c r="M91" s="65">
        <v>0</v>
      </c>
      <c r="N91" s="83"/>
      <c r="O91" s="62"/>
      <c r="P91" s="87">
        <v>443546.17</v>
      </c>
      <c r="Q91" s="67"/>
      <c r="R91" s="88"/>
      <c r="S91" s="88"/>
      <c r="T91" s="74"/>
      <c r="U91" s="74"/>
      <c r="V91" s="67">
        <v>4873448</v>
      </c>
      <c r="W91" s="67"/>
      <c r="X91" s="89"/>
      <c r="Y91" s="75"/>
      <c r="Z91" s="90">
        <v>4873448</v>
      </c>
      <c r="AA91" s="74">
        <f t="shared" si="15"/>
        <v>1098.746495770666</v>
      </c>
      <c r="AB91" s="76">
        <f t="shared" si="16"/>
        <v>4429901.83</v>
      </c>
      <c r="AC91" s="136"/>
      <c r="AD91" s="223">
        <f t="shared" si="13"/>
        <v>0</v>
      </c>
      <c r="AE91" s="59"/>
      <c r="AF91" s="136"/>
      <c r="AG91" s="136"/>
      <c r="AH91" s="239"/>
      <c r="AI91" s="69" t="e">
        <f t="shared" si="14"/>
        <v>#DIV/0!</v>
      </c>
    </row>
    <row r="92" spans="1:35" ht="18.75" hidden="1">
      <c r="A92" s="36" t="s">
        <v>143</v>
      </c>
      <c r="B92" s="36"/>
      <c r="C92" s="92"/>
      <c r="D92" s="224" t="s">
        <v>144</v>
      </c>
      <c r="E92" s="73">
        <f>20554.4+1254+42.4</f>
        <v>21850.800000000003</v>
      </c>
      <c r="F92" s="73">
        <f>20118.2+1254+42.4</f>
        <v>21414.600000000002</v>
      </c>
      <c r="G92" s="73">
        <f>166.5+18.4</f>
        <v>184.9</v>
      </c>
      <c r="H92" s="73">
        <f>19951.7+1254+24</f>
        <v>21229.7</v>
      </c>
      <c r="I92" s="225">
        <f>25447.6+198</f>
        <v>25645.6</v>
      </c>
      <c r="J92" s="225">
        <v>10120.4</v>
      </c>
      <c r="K92" s="73">
        <v>21229.7</v>
      </c>
      <c r="L92" s="225"/>
      <c r="M92" s="74">
        <f>M93+M94</f>
        <v>25052300</v>
      </c>
      <c r="N92" s="225"/>
      <c r="O92" s="84">
        <f>P92+Q92</f>
        <v>18162154.96</v>
      </c>
      <c r="P92" s="82"/>
      <c r="Q92" s="74">
        <f>Q93+Q94</f>
        <v>18162154.96</v>
      </c>
      <c r="R92" s="136"/>
      <c r="S92" s="136"/>
      <c r="T92" s="74">
        <f>T93+T94</f>
        <v>18162151.85</v>
      </c>
      <c r="U92" s="74"/>
      <c r="V92" s="74">
        <v>0</v>
      </c>
      <c r="W92" s="74"/>
      <c r="X92" s="74">
        <f>X93+X94</f>
        <v>18162151.85</v>
      </c>
      <c r="Y92" s="75" t="e">
        <f>X92/P92*100</f>
        <v>#DIV/0!</v>
      </c>
      <c r="Z92" s="82">
        <f>Z93+Z94</f>
        <v>0</v>
      </c>
      <c r="AA92" s="74" t="e">
        <f t="shared" si="15"/>
        <v>#DIV/0!</v>
      </c>
      <c r="AB92" s="76">
        <f t="shared" si="16"/>
        <v>0</v>
      </c>
      <c r="AC92" s="136"/>
      <c r="AD92" s="223">
        <f t="shared" si="13"/>
        <v>0</v>
      </c>
      <c r="AE92" s="59"/>
      <c r="AF92" s="136"/>
      <c r="AG92" s="136"/>
      <c r="AH92" s="239"/>
      <c r="AI92" s="69" t="e">
        <f t="shared" si="14"/>
        <v>#DIV/0!</v>
      </c>
    </row>
    <row r="93" spans="1:35" ht="56.25" hidden="1">
      <c r="A93" s="38"/>
      <c r="B93" s="38"/>
      <c r="C93" s="273" t="s">
        <v>145</v>
      </c>
      <c r="D93" s="168" t="s">
        <v>91</v>
      </c>
      <c r="E93" s="56"/>
      <c r="F93" s="56"/>
      <c r="G93" s="56"/>
      <c r="H93" s="56"/>
      <c r="I93" s="226"/>
      <c r="J93" s="226"/>
      <c r="K93" s="226"/>
      <c r="L93" s="227"/>
      <c r="M93" s="98">
        <v>7232100</v>
      </c>
      <c r="N93" s="83"/>
      <c r="O93" s="62">
        <f>P93+Q93</f>
        <v>13707388.44</v>
      </c>
      <c r="P93" s="58">
        <f>Q93+R93</f>
        <v>6853694.22</v>
      </c>
      <c r="Q93" s="46">
        <f>7232100-378405.78</f>
        <v>6853694.22</v>
      </c>
      <c r="R93" s="136"/>
      <c r="S93" s="136"/>
      <c r="T93" s="46">
        <f>1341065+264830+1439254.25+119395.75+507870+59340+35936.5+335196.18+472850.38+220509.52+38684.18+107682.7+71415+175089.2+268474.5+377603.92+171362.7+194439.28+227897.54+71415+353382.62</f>
        <v>6853694.220000001</v>
      </c>
      <c r="U93" s="46"/>
      <c r="V93" s="74">
        <v>0</v>
      </c>
      <c r="W93" s="74"/>
      <c r="X93" s="46">
        <f>1341065+264830+1439254.25+119395.75+507870+59340+35936.5+335196.18+472850.38+220509.52+38684.18+107682.7+71415+175089.2+268474.5+377603.92+171362.7+194439.28+227897.54+71415+353382.62</f>
        <v>6853694.220000001</v>
      </c>
      <c r="Y93" s="64">
        <f>X93/P93*100</f>
        <v>100.00000000000003</v>
      </c>
      <c r="Z93" s="116">
        <v>0</v>
      </c>
      <c r="AA93" s="74">
        <f t="shared" si="15"/>
        <v>0</v>
      </c>
      <c r="AB93" s="76">
        <f t="shared" si="16"/>
        <v>-6853694.22</v>
      </c>
      <c r="AC93" s="136"/>
      <c r="AD93" s="223">
        <f t="shared" si="13"/>
        <v>0</v>
      </c>
      <c r="AE93" s="59"/>
      <c r="AF93" s="136"/>
      <c r="AG93" s="136"/>
      <c r="AH93" s="239"/>
      <c r="AI93" s="69" t="e">
        <f t="shared" si="14"/>
        <v>#DIV/0!</v>
      </c>
    </row>
    <row r="94" spans="1:35" ht="56.25" hidden="1">
      <c r="A94" s="38"/>
      <c r="B94" s="38"/>
      <c r="C94" s="273"/>
      <c r="D94" s="188" t="s">
        <v>92</v>
      </c>
      <c r="E94" s="56"/>
      <c r="F94" s="56"/>
      <c r="G94" s="56"/>
      <c r="H94" s="56"/>
      <c r="I94" s="226"/>
      <c r="J94" s="226"/>
      <c r="K94" s="226"/>
      <c r="L94" s="227"/>
      <c r="M94" s="98">
        <v>17820200</v>
      </c>
      <c r="N94" s="83"/>
      <c r="O94" s="62">
        <f>P94+Q94</f>
        <v>22616921.48</v>
      </c>
      <c r="P94" s="58">
        <f>Q94+R94</f>
        <v>11308460.74</v>
      </c>
      <c r="Q94" s="46">
        <f>17820200-6511739.26</f>
        <v>11308460.74</v>
      </c>
      <c r="R94" s="136"/>
      <c r="S94" s="136"/>
      <c r="T94" s="46">
        <f>485919.56+3050150.33+4015340.79+1228787.45+1461675.45+214759.4+851824.65</f>
        <v>11308457.629999999</v>
      </c>
      <c r="U94" s="46"/>
      <c r="V94" s="74">
        <v>0</v>
      </c>
      <c r="W94" s="74"/>
      <c r="X94" s="46">
        <f>485919.56+3050150.33+4015340.79+1228787.45+1461675.45+214759.4+851824.65</f>
        <v>11308457.629999999</v>
      </c>
      <c r="Y94" s="64">
        <f>X94/P94*100</f>
        <v>99.99997249846754</v>
      </c>
      <c r="Z94" s="116">
        <v>0</v>
      </c>
      <c r="AA94" s="74">
        <f t="shared" si="15"/>
        <v>0</v>
      </c>
      <c r="AB94" s="76">
        <f t="shared" si="16"/>
        <v>-11308460.74</v>
      </c>
      <c r="AC94" s="136"/>
      <c r="AD94" s="223">
        <f t="shared" si="13"/>
        <v>0</v>
      </c>
      <c r="AE94" s="59"/>
      <c r="AF94" s="136"/>
      <c r="AG94" s="136"/>
      <c r="AH94" s="239"/>
      <c r="AI94" s="69" t="e">
        <f t="shared" si="14"/>
        <v>#DIV/0!</v>
      </c>
    </row>
    <row r="95" spans="1:35" ht="37.5">
      <c r="A95" s="38"/>
      <c r="B95" s="38"/>
      <c r="C95" s="186"/>
      <c r="D95" s="188" t="s">
        <v>221</v>
      </c>
      <c r="E95" s="56"/>
      <c r="F95" s="56"/>
      <c r="G95" s="56"/>
      <c r="H95" s="56"/>
      <c r="I95" s="226"/>
      <c r="J95" s="226"/>
      <c r="K95" s="226"/>
      <c r="L95" s="227"/>
      <c r="M95" s="98"/>
      <c r="N95" s="83"/>
      <c r="O95" s="62"/>
      <c r="P95" s="58"/>
      <c r="Q95" s="46"/>
      <c r="R95" s="136"/>
      <c r="S95" s="136"/>
      <c r="T95" s="46"/>
      <c r="U95" s="46"/>
      <c r="V95" s="74"/>
      <c r="W95" s="74"/>
      <c r="X95" s="46"/>
      <c r="Y95" s="64"/>
      <c r="Z95" s="116"/>
      <c r="AA95" s="74"/>
      <c r="AB95" s="76"/>
      <c r="AC95" s="136"/>
      <c r="AD95" s="223">
        <f>AE95</f>
        <v>150000</v>
      </c>
      <c r="AE95" s="59">
        <v>150000</v>
      </c>
      <c r="AF95" s="136"/>
      <c r="AG95" s="136"/>
      <c r="AH95" s="239">
        <v>0</v>
      </c>
      <c r="AI95" s="69">
        <f t="shared" si="14"/>
        <v>0</v>
      </c>
    </row>
    <row r="96" spans="1:35" s="2" customFormat="1" ht="18.75">
      <c r="A96" s="169"/>
      <c r="B96" s="169" t="s">
        <v>36</v>
      </c>
      <c r="C96" s="170" t="s">
        <v>94</v>
      </c>
      <c r="D96" s="85" t="s">
        <v>95</v>
      </c>
      <c r="E96" s="56"/>
      <c r="F96" s="56"/>
      <c r="G96" s="56"/>
      <c r="H96" s="56"/>
      <c r="I96" s="56"/>
      <c r="J96" s="56"/>
      <c r="K96" s="56"/>
      <c r="L96" s="56"/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/>
      <c r="V96" s="89">
        <v>212856.4</v>
      </c>
      <c r="W96" s="89"/>
      <c r="X96" s="65">
        <v>0</v>
      </c>
      <c r="Y96" s="65">
        <v>0</v>
      </c>
      <c r="Z96" s="189">
        <f>Z97+Z98</f>
        <v>212856.4</v>
      </c>
      <c r="AA96" s="89"/>
      <c r="AB96" s="220">
        <f aca="true" t="shared" si="17" ref="AB96:AB110">Z96-P96</f>
        <v>212856.4</v>
      </c>
      <c r="AC96" s="63"/>
      <c r="AD96" s="180">
        <f aca="true" t="shared" si="18" ref="AD96:AD110">AE96+AF96</f>
        <v>212856.4</v>
      </c>
      <c r="AE96" s="189">
        <f>AE97+AE98</f>
        <v>212856.4</v>
      </c>
      <c r="AF96" s="218"/>
      <c r="AG96" s="218"/>
      <c r="AH96" s="237">
        <f>AH97+AH98</f>
        <v>0</v>
      </c>
      <c r="AI96" s="75">
        <f t="shared" si="14"/>
        <v>0</v>
      </c>
    </row>
    <row r="97" spans="1:35" ht="18.75">
      <c r="A97" s="38"/>
      <c r="B97" s="38"/>
      <c r="C97" s="39"/>
      <c r="D97" s="55" t="s">
        <v>150</v>
      </c>
      <c r="E97" s="73"/>
      <c r="F97" s="73"/>
      <c r="G97" s="73"/>
      <c r="H97" s="73"/>
      <c r="I97" s="73"/>
      <c r="J97" s="73"/>
      <c r="K97" s="73"/>
      <c r="L97" s="73"/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/>
      <c r="V97" s="74">
        <f>P97*(0.9)</f>
        <v>0</v>
      </c>
      <c r="W97" s="74"/>
      <c r="X97" s="58">
        <v>0</v>
      </c>
      <c r="Y97" s="58">
        <v>0</v>
      </c>
      <c r="Z97" s="59">
        <v>100000</v>
      </c>
      <c r="AA97" s="74" t="e">
        <f aca="true" t="shared" si="19" ref="AA97:AA110">Z97/P97*100</f>
        <v>#DIV/0!</v>
      </c>
      <c r="AB97" s="76">
        <f t="shared" si="17"/>
        <v>100000</v>
      </c>
      <c r="AC97" s="63"/>
      <c r="AD97" s="223">
        <f t="shared" si="18"/>
        <v>100000</v>
      </c>
      <c r="AE97" s="59">
        <v>100000</v>
      </c>
      <c r="AF97" s="136"/>
      <c r="AG97" s="136"/>
      <c r="AH97" s="239">
        <v>0</v>
      </c>
      <c r="AI97" s="69">
        <f t="shared" si="14"/>
        <v>0</v>
      </c>
    </row>
    <row r="98" spans="1:35" ht="19.5" customHeight="1">
      <c r="A98" s="38"/>
      <c r="B98" s="38"/>
      <c r="C98" s="39"/>
      <c r="D98" s="55" t="s">
        <v>151</v>
      </c>
      <c r="E98" s="73"/>
      <c r="F98" s="73"/>
      <c r="G98" s="73"/>
      <c r="H98" s="73"/>
      <c r="I98" s="73"/>
      <c r="J98" s="73"/>
      <c r="K98" s="73"/>
      <c r="L98" s="73"/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/>
      <c r="V98" s="74">
        <f>P98*(0.9)</f>
        <v>0</v>
      </c>
      <c r="W98" s="74"/>
      <c r="X98" s="58">
        <v>0</v>
      </c>
      <c r="Y98" s="58">
        <v>0</v>
      </c>
      <c r="Z98" s="59">
        <v>112856.4</v>
      </c>
      <c r="AA98" s="74" t="e">
        <f t="shared" si="19"/>
        <v>#DIV/0!</v>
      </c>
      <c r="AB98" s="76">
        <f t="shared" si="17"/>
        <v>112856.4</v>
      </c>
      <c r="AC98" s="63"/>
      <c r="AD98" s="223">
        <f t="shared" si="18"/>
        <v>112856.4</v>
      </c>
      <c r="AE98" s="59">
        <v>112856.4</v>
      </c>
      <c r="AF98" s="136"/>
      <c r="AG98" s="136"/>
      <c r="AH98" s="239">
        <v>0</v>
      </c>
      <c r="AI98" s="69">
        <f t="shared" si="14"/>
        <v>0</v>
      </c>
    </row>
    <row r="99" spans="1:35" s="2" customFormat="1" ht="22.5" customHeight="1">
      <c r="A99" s="169" t="s">
        <v>152</v>
      </c>
      <c r="B99" s="169" t="s">
        <v>37</v>
      </c>
      <c r="C99" s="170"/>
      <c r="D99" s="228" t="s">
        <v>154</v>
      </c>
      <c r="E99" s="95"/>
      <c r="F99" s="95"/>
      <c r="G99" s="95"/>
      <c r="H99" s="95"/>
      <c r="I99" s="95"/>
      <c r="J99" s="95"/>
      <c r="K99" s="95"/>
      <c r="L99" s="95"/>
      <c r="M99" s="229">
        <f>M101+M100</f>
        <v>325000</v>
      </c>
      <c r="N99" s="95"/>
      <c r="O99" s="66">
        <f aca="true" t="shared" si="20" ref="O99:O110">P99+Q99</f>
        <v>2067000</v>
      </c>
      <c r="P99" s="65">
        <f aca="true" t="shared" si="21" ref="P99:P110">Q99+R99</f>
        <v>1033500</v>
      </c>
      <c r="Q99" s="230">
        <f>Q101+Q100</f>
        <v>1033500</v>
      </c>
      <c r="R99" s="68"/>
      <c r="S99" s="68"/>
      <c r="T99" s="230">
        <f>T101+T100</f>
        <v>669069.4899999999</v>
      </c>
      <c r="U99" s="230"/>
      <c r="V99" s="230">
        <f>V101+V100</f>
        <v>1189112</v>
      </c>
      <c r="W99" s="67"/>
      <c r="X99" s="230">
        <f>X101+X100</f>
        <v>669069.4899999999</v>
      </c>
      <c r="Y99" s="69">
        <f>X99/P99*100</f>
        <v>64.73821867440735</v>
      </c>
      <c r="Z99" s="231">
        <f>Z101+Z100</f>
        <v>1189112</v>
      </c>
      <c r="AA99" s="67">
        <f t="shared" si="19"/>
        <v>115.05679729075955</v>
      </c>
      <c r="AB99" s="80">
        <f t="shared" si="17"/>
        <v>155612</v>
      </c>
      <c r="AC99" s="256" t="s">
        <v>155</v>
      </c>
      <c r="AD99" s="180">
        <f t="shared" si="18"/>
        <v>1189112</v>
      </c>
      <c r="AE99" s="232">
        <v>1189112</v>
      </c>
      <c r="AF99" s="218"/>
      <c r="AG99" s="218"/>
      <c r="AH99" s="237">
        <f>AH100+AH101</f>
        <v>77832.47</v>
      </c>
      <c r="AI99" s="75">
        <f t="shared" si="14"/>
        <v>6.545428016873095</v>
      </c>
    </row>
    <row r="100" spans="1:35" ht="19.5">
      <c r="A100" s="38"/>
      <c r="B100" s="38"/>
      <c r="C100" s="39" t="s">
        <v>156</v>
      </c>
      <c r="D100" s="55" t="s">
        <v>157</v>
      </c>
      <c r="E100" s="95"/>
      <c r="F100" s="95"/>
      <c r="G100" s="95"/>
      <c r="H100" s="95"/>
      <c r="I100" s="95"/>
      <c r="J100" s="95"/>
      <c r="K100" s="95"/>
      <c r="L100" s="95"/>
      <c r="M100" s="96">
        <v>225000</v>
      </c>
      <c r="N100" s="95"/>
      <c r="O100" s="62">
        <f t="shared" si="20"/>
        <v>1867000</v>
      </c>
      <c r="P100" s="58">
        <f t="shared" si="21"/>
        <v>933500</v>
      </c>
      <c r="Q100" s="97">
        <f>225000+378500+30000+300000</f>
        <v>933500</v>
      </c>
      <c r="R100" s="68"/>
      <c r="S100" s="68"/>
      <c r="T100" s="97">
        <f>12823.97+314438.51+1053.06+121644.29+64211.93+20568.88+13082.39+4993.7+64170</f>
        <v>616986.7299999999</v>
      </c>
      <c r="U100" s="97"/>
      <c r="V100" s="72">
        <v>1089113.5</v>
      </c>
      <c r="W100" s="50"/>
      <c r="X100" s="97">
        <f>12823.97+314438.51+1053.06+121644.29+64211.93+20568.88+13082.39+4993.7+64170</f>
        <v>616986.7299999999</v>
      </c>
      <c r="Y100" s="69">
        <f>X100/P100*100</f>
        <v>66.09391858596678</v>
      </c>
      <c r="Z100" s="59">
        <v>1089113.5</v>
      </c>
      <c r="AA100" s="50">
        <f t="shared" si="19"/>
        <v>116.66989823245848</v>
      </c>
      <c r="AB100" s="51">
        <f t="shared" si="17"/>
        <v>155613.5</v>
      </c>
      <c r="AC100" s="256"/>
      <c r="AD100" s="223">
        <f t="shared" si="18"/>
        <v>1089113.5</v>
      </c>
      <c r="AE100" s="98">
        <f>Z100</f>
        <v>1089113.5</v>
      </c>
      <c r="AF100" s="136"/>
      <c r="AG100" s="136"/>
      <c r="AH100" s="239">
        <v>64659.38</v>
      </c>
      <c r="AI100" s="69">
        <f t="shared" si="14"/>
        <v>5.93688169323032</v>
      </c>
    </row>
    <row r="101" spans="1:35" ht="19.5">
      <c r="A101" s="38"/>
      <c r="B101" s="38"/>
      <c r="C101" s="39" t="s">
        <v>156</v>
      </c>
      <c r="D101" s="55" t="s">
        <v>158</v>
      </c>
      <c r="E101" s="95"/>
      <c r="F101" s="95"/>
      <c r="G101" s="95"/>
      <c r="H101" s="95"/>
      <c r="I101" s="95"/>
      <c r="J101" s="95"/>
      <c r="K101" s="95"/>
      <c r="L101" s="95"/>
      <c r="M101" s="96">
        <v>100000</v>
      </c>
      <c r="N101" s="95"/>
      <c r="O101" s="62">
        <f t="shared" si="20"/>
        <v>200000</v>
      </c>
      <c r="P101" s="58">
        <f t="shared" si="21"/>
        <v>100000</v>
      </c>
      <c r="Q101" s="97">
        <v>100000</v>
      </c>
      <c r="R101" s="68"/>
      <c r="S101" s="68"/>
      <c r="T101" s="97">
        <f>385.27+6084.22+13129.31+12261.98+8270.72+11951.26</f>
        <v>52082.76</v>
      </c>
      <c r="U101" s="97"/>
      <c r="V101" s="72">
        <v>99998.5</v>
      </c>
      <c r="W101" s="50"/>
      <c r="X101" s="97">
        <f>385.27+6084.22+13129.31+12261.98+8270.72+11951.26</f>
        <v>52082.76</v>
      </c>
      <c r="Y101" s="69">
        <f>X101/P101*100</f>
        <v>52.08276000000001</v>
      </c>
      <c r="Z101" s="59">
        <v>99998.5</v>
      </c>
      <c r="AA101" s="50">
        <f t="shared" si="19"/>
        <v>99.9985</v>
      </c>
      <c r="AB101" s="51">
        <f t="shared" si="17"/>
        <v>-1.5</v>
      </c>
      <c r="AC101" s="256"/>
      <c r="AD101" s="223">
        <f t="shared" si="18"/>
        <v>99998.5</v>
      </c>
      <c r="AE101" s="98">
        <f>Z101</f>
        <v>99998.5</v>
      </c>
      <c r="AF101" s="136"/>
      <c r="AG101" s="136"/>
      <c r="AH101" s="239">
        <f>3627.67+2979.18+4331.94+2234.3</f>
        <v>13173.09</v>
      </c>
      <c r="AI101" s="69">
        <f t="shared" si="14"/>
        <v>13.17328759931399</v>
      </c>
    </row>
    <row r="102" spans="1:35" s="2" customFormat="1" ht="18.75">
      <c r="A102" s="169" t="s">
        <v>159</v>
      </c>
      <c r="B102" s="169" t="s">
        <v>38</v>
      </c>
      <c r="C102" s="170" t="s">
        <v>156</v>
      </c>
      <c r="D102" s="85" t="s">
        <v>161</v>
      </c>
      <c r="E102" s="56" t="e">
        <f>#REF!+#REF!</f>
        <v>#REF!</v>
      </c>
      <c r="F102" s="56" t="e">
        <f>#REF!+#REF!</f>
        <v>#REF!</v>
      </c>
      <c r="G102" s="56" t="e">
        <f>#REF!+#REF!</f>
        <v>#REF!</v>
      </c>
      <c r="H102" s="56" t="e">
        <f>#REF!+#REF!</f>
        <v>#REF!</v>
      </c>
      <c r="I102" s="56" t="e">
        <f>#REF!+#REF!</f>
        <v>#REF!</v>
      </c>
      <c r="J102" s="56"/>
      <c r="K102" s="56">
        <v>3916.0000000000005</v>
      </c>
      <c r="L102" s="56"/>
      <c r="M102" s="65">
        <v>59112.8</v>
      </c>
      <c r="N102" s="56"/>
      <c r="O102" s="66">
        <f t="shared" si="20"/>
        <v>118225.6</v>
      </c>
      <c r="P102" s="65">
        <f t="shared" si="21"/>
        <v>59112.8</v>
      </c>
      <c r="Q102" s="89">
        <f>59136-23.2</f>
        <v>59112.8</v>
      </c>
      <c r="R102" s="63"/>
      <c r="S102" s="63"/>
      <c r="T102" s="89">
        <v>15318.9</v>
      </c>
      <c r="U102" s="89"/>
      <c r="V102" s="89">
        <v>208100</v>
      </c>
      <c r="W102" s="89"/>
      <c r="X102" s="89">
        <v>15318.9</v>
      </c>
      <c r="Y102" s="75">
        <f>X102/P102*100</f>
        <v>25.91469191105818</v>
      </c>
      <c r="Z102" s="189">
        <v>208100</v>
      </c>
      <c r="AA102" s="89">
        <f t="shared" si="19"/>
        <v>352.03881392862456</v>
      </c>
      <c r="AB102" s="220">
        <f t="shared" si="17"/>
        <v>148987.2</v>
      </c>
      <c r="AC102" s="63" t="s">
        <v>162</v>
      </c>
      <c r="AD102" s="180">
        <f t="shared" si="18"/>
        <v>76052.53</v>
      </c>
      <c r="AE102" s="189">
        <f>P102+11241.06+5698.67</f>
        <v>76052.53</v>
      </c>
      <c r="AF102" s="218"/>
      <c r="AG102" s="218"/>
      <c r="AH102" s="237">
        <v>32017.68</v>
      </c>
      <c r="AI102" s="75">
        <f t="shared" si="14"/>
        <v>42.09942785598323</v>
      </c>
    </row>
    <row r="103" spans="1:35" s="2" customFormat="1" ht="18.75">
      <c r="A103" s="169" t="s">
        <v>163</v>
      </c>
      <c r="B103" s="169" t="s">
        <v>39</v>
      </c>
      <c r="C103" s="170" t="s">
        <v>156</v>
      </c>
      <c r="D103" s="85" t="s">
        <v>165</v>
      </c>
      <c r="E103" s="56"/>
      <c r="F103" s="56"/>
      <c r="G103" s="56"/>
      <c r="H103" s="56"/>
      <c r="I103" s="56"/>
      <c r="J103" s="56"/>
      <c r="K103" s="56"/>
      <c r="L103" s="56"/>
      <c r="M103" s="65">
        <v>0</v>
      </c>
      <c r="N103" s="56"/>
      <c r="O103" s="66">
        <f t="shared" si="20"/>
        <v>54000</v>
      </c>
      <c r="P103" s="65">
        <f t="shared" si="21"/>
        <v>27000</v>
      </c>
      <c r="Q103" s="89">
        <v>27000</v>
      </c>
      <c r="R103" s="63"/>
      <c r="S103" s="63"/>
      <c r="T103" s="89">
        <f>8994.7+8994.7</f>
        <v>17989.4</v>
      </c>
      <c r="U103" s="89"/>
      <c r="V103" s="89">
        <v>62426.4</v>
      </c>
      <c r="W103" s="89"/>
      <c r="X103" s="89">
        <f>8994.7+8994.7</f>
        <v>17989.4</v>
      </c>
      <c r="Y103" s="75"/>
      <c r="Z103" s="189">
        <v>62426.4</v>
      </c>
      <c r="AA103" s="89">
        <f t="shared" si="19"/>
        <v>231.20888888888888</v>
      </c>
      <c r="AB103" s="220">
        <f t="shared" si="17"/>
        <v>35426.4</v>
      </c>
      <c r="AC103" s="63" t="s">
        <v>84</v>
      </c>
      <c r="AD103" s="180">
        <f t="shared" si="18"/>
        <v>107172</v>
      </c>
      <c r="AE103" s="189">
        <f>62426.4+44745.6</f>
        <v>107172</v>
      </c>
      <c r="AF103" s="218"/>
      <c r="AG103" s="218"/>
      <c r="AH103" s="237">
        <v>20125.35</v>
      </c>
      <c r="AI103" s="75">
        <f t="shared" si="14"/>
        <v>18.778552233792407</v>
      </c>
    </row>
    <row r="104" spans="1:35" ht="37.5" hidden="1">
      <c r="A104" s="36" t="s">
        <v>166</v>
      </c>
      <c r="B104" s="36" t="s">
        <v>167</v>
      </c>
      <c r="C104" s="37" t="s">
        <v>168</v>
      </c>
      <c r="D104" s="224" t="s">
        <v>169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20"/>
        <v>10951615.36</v>
      </c>
      <c r="P104" s="82">
        <f t="shared" si="21"/>
        <v>5475807.68</v>
      </c>
      <c r="Q104" s="74">
        <v>5475807.68</v>
      </c>
      <c r="R104" s="219"/>
      <c r="S104" s="63"/>
      <c r="T104" s="97">
        <v>5475807.68</v>
      </c>
      <c r="U104" s="97"/>
      <c r="V104" s="74">
        <v>0</v>
      </c>
      <c r="W104" s="74"/>
      <c r="X104" s="97">
        <v>5475807.68</v>
      </c>
      <c r="Y104" s="69">
        <f>X104/P104*100</f>
        <v>100</v>
      </c>
      <c r="Z104" s="82">
        <f>Z105+Z106+Z107</f>
        <v>0</v>
      </c>
      <c r="AA104" s="74">
        <f t="shared" si="19"/>
        <v>0</v>
      </c>
      <c r="AB104" s="76">
        <f t="shared" si="17"/>
        <v>-5475807.68</v>
      </c>
      <c r="AC104" s="63"/>
      <c r="AD104" s="180">
        <f t="shared" si="18"/>
        <v>0</v>
      </c>
      <c r="AE104" s="82">
        <f>AE105+AE106+AE107</f>
        <v>0</v>
      </c>
      <c r="AF104" s="136"/>
      <c r="AG104" s="136"/>
      <c r="AH104" s="237"/>
      <c r="AI104" s="75" t="e">
        <f t="shared" si="14"/>
        <v>#DIV/0!</v>
      </c>
    </row>
    <row r="105" spans="1:35" ht="37.5" hidden="1">
      <c r="A105" s="36" t="s">
        <v>170</v>
      </c>
      <c r="B105" s="36" t="s">
        <v>171</v>
      </c>
      <c r="C105" s="37" t="s">
        <v>168</v>
      </c>
      <c r="D105" s="224" t="s">
        <v>172</v>
      </c>
      <c r="E105" s="73"/>
      <c r="F105" s="73"/>
      <c r="G105" s="73"/>
      <c r="H105" s="73"/>
      <c r="I105" s="73"/>
      <c r="J105" s="73"/>
      <c r="K105" s="73"/>
      <c r="L105" s="73"/>
      <c r="M105" s="82">
        <v>0</v>
      </c>
      <c r="N105" s="73"/>
      <c r="O105" s="84">
        <f t="shared" si="20"/>
        <v>340762.28</v>
      </c>
      <c r="P105" s="82">
        <f t="shared" si="21"/>
        <v>170381.14</v>
      </c>
      <c r="Q105" s="74">
        <f>550000-379618.86</f>
        <v>170381.14</v>
      </c>
      <c r="R105" s="219"/>
      <c r="S105" s="63"/>
      <c r="T105" s="97">
        <v>170381.14</v>
      </c>
      <c r="U105" s="97"/>
      <c r="V105" s="74">
        <v>0</v>
      </c>
      <c r="W105" s="74"/>
      <c r="X105" s="97">
        <v>170381.14</v>
      </c>
      <c r="Y105" s="69">
        <f>X105/P105*100</f>
        <v>100</v>
      </c>
      <c r="Z105" s="82">
        <f>Z106+Z107+Z108</f>
        <v>0</v>
      </c>
      <c r="AA105" s="74">
        <f t="shared" si="19"/>
        <v>0</v>
      </c>
      <c r="AB105" s="76">
        <f t="shared" si="17"/>
        <v>-170381.14</v>
      </c>
      <c r="AC105" s="63"/>
      <c r="AD105" s="180">
        <f t="shared" si="18"/>
        <v>0</v>
      </c>
      <c r="AE105" s="82">
        <f>AE106+AE107+AE108</f>
        <v>0</v>
      </c>
      <c r="AF105" s="136"/>
      <c r="AG105" s="136"/>
      <c r="AH105" s="237"/>
      <c r="AI105" s="75" t="e">
        <f t="shared" si="14"/>
        <v>#DIV/0!</v>
      </c>
    </row>
    <row r="106" spans="1:35" ht="32.25" customHeight="1" hidden="1">
      <c r="A106" s="36" t="s">
        <v>173</v>
      </c>
      <c r="B106" s="36" t="s">
        <v>174</v>
      </c>
      <c r="C106" s="37" t="s">
        <v>168</v>
      </c>
      <c r="D106" s="224" t="s">
        <v>175</v>
      </c>
      <c r="E106" s="73"/>
      <c r="F106" s="73"/>
      <c r="G106" s="73"/>
      <c r="H106" s="73"/>
      <c r="I106" s="73"/>
      <c r="J106" s="73"/>
      <c r="K106" s="73"/>
      <c r="L106" s="73"/>
      <c r="M106" s="82">
        <v>0</v>
      </c>
      <c r="N106" s="73"/>
      <c r="O106" s="84">
        <f t="shared" si="20"/>
        <v>610364</v>
      </c>
      <c r="P106" s="82">
        <f t="shared" si="21"/>
        <v>305182</v>
      </c>
      <c r="Q106" s="74">
        <v>305182</v>
      </c>
      <c r="R106" s="219"/>
      <c r="S106" s="63"/>
      <c r="T106" s="97"/>
      <c r="U106" s="97"/>
      <c r="V106" s="74">
        <v>0</v>
      </c>
      <c r="W106" s="74"/>
      <c r="X106" s="97"/>
      <c r="Y106" s="69"/>
      <c r="Z106" s="82">
        <f>Z107+Z108+Z109</f>
        <v>0</v>
      </c>
      <c r="AA106" s="74">
        <f t="shared" si="19"/>
        <v>0</v>
      </c>
      <c r="AB106" s="76">
        <f t="shared" si="17"/>
        <v>-305182</v>
      </c>
      <c r="AC106" s="63"/>
      <c r="AD106" s="180">
        <f t="shared" si="18"/>
        <v>0</v>
      </c>
      <c r="AE106" s="82">
        <f>AE107+AE108+AE109</f>
        <v>0</v>
      </c>
      <c r="AF106" s="136"/>
      <c r="AG106" s="136"/>
      <c r="AH106" s="237"/>
      <c r="AI106" s="75" t="e">
        <f t="shared" si="14"/>
        <v>#DIV/0!</v>
      </c>
    </row>
    <row r="107" spans="1:35" ht="51.75" customHeight="1" hidden="1">
      <c r="A107" s="36" t="s">
        <v>176</v>
      </c>
      <c r="B107" s="36" t="s">
        <v>177</v>
      </c>
      <c r="C107" s="37" t="s">
        <v>178</v>
      </c>
      <c r="D107" s="224" t="s">
        <v>179</v>
      </c>
      <c r="E107" s="73"/>
      <c r="F107" s="73"/>
      <c r="G107" s="73"/>
      <c r="H107" s="73"/>
      <c r="I107" s="73"/>
      <c r="J107" s="73"/>
      <c r="K107" s="73"/>
      <c r="L107" s="73"/>
      <c r="M107" s="82">
        <f>M108+M109+M110</f>
        <v>0</v>
      </c>
      <c r="N107" s="73"/>
      <c r="O107" s="84">
        <f t="shared" si="20"/>
        <v>20012024</v>
      </c>
      <c r="P107" s="82">
        <f t="shared" si="21"/>
        <v>10006012</v>
      </c>
      <c r="Q107" s="74">
        <f>Q108+Q109+Q110</f>
        <v>10006012</v>
      </c>
      <c r="R107" s="99"/>
      <c r="S107" s="63"/>
      <c r="T107" s="74">
        <f>T108+T109+T110</f>
        <v>7554942</v>
      </c>
      <c r="U107" s="74"/>
      <c r="V107" s="74">
        <v>0</v>
      </c>
      <c r="W107" s="74"/>
      <c r="X107" s="74">
        <f>X108+X109+X110</f>
        <v>7554942</v>
      </c>
      <c r="Y107" s="185">
        <f>X107/P107*100</f>
        <v>75.50402697898024</v>
      </c>
      <c r="Z107" s="82">
        <f>Z108+Z109+Z110</f>
        <v>0</v>
      </c>
      <c r="AA107" s="74">
        <f t="shared" si="19"/>
        <v>0</v>
      </c>
      <c r="AB107" s="76">
        <f t="shared" si="17"/>
        <v>-10006012</v>
      </c>
      <c r="AC107" s="63"/>
      <c r="AD107" s="180">
        <f t="shared" si="18"/>
        <v>0</v>
      </c>
      <c r="AE107" s="82">
        <f>AE108+AE109+AE110</f>
        <v>0</v>
      </c>
      <c r="AF107" s="136"/>
      <c r="AG107" s="136"/>
      <c r="AH107" s="237"/>
      <c r="AI107" s="75" t="e">
        <f t="shared" si="14"/>
        <v>#DIV/0!</v>
      </c>
    </row>
    <row r="108" spans="1:35" ht="24" customHeight="1" hidden="1">
      <c r="A108" s="36"/>
      <c r="B108" s="36"/>
      <c r="C108" s="39"/>
      <c r="D108" s="55" t="s">
        <v>180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20"/>
        <v>4000000</v>
      </c>
      <c r="P108" s="58">
        <f t="shared" si="21"/>
        <v>2000000</v>
      </c>
      <c r="Q108" s="67">
        <f>1500000+500000</f>
        <v>2000000</v>
      </c>
      <c r="R108" s="99"/>
      <c r="S108" s="63"/>
      <c r="T108" s="97">
        <f>185695.2+283914.6+257099.4+99340.8+62907.6+129854.4+71424+72591.6+236332.8+190290+101258.4+5511.6+10389.6</f>
        <v>1706610.0000000002</v>
      </c>
      <c r="U108" s="97"/>
      <c r="V108" s="74">
        <v>0</v>
      </c>
      <c r="W108" s="74"/>
      <c r="X108" s="97">
        <f>185695.2+283914.6+257099.4+99340.8+62907.6+129854.4+71424+72591.6+236332.8+190290+101258.4+5511.6+10389.6</f>
        <v>1706610.0000000002</v>
      </c>
      <c r="Y108" s="69">
        <f>X108/P108*100</f>
        <v>85.33050000000001</v>
      </c>
      <c r="Z108" s="59">
        <v>0</v>
      </c>
      <c r="AA108" s="74">
        <f t="shared" si="19"/>
        <v>0</v>
      </c>
      <c r="AB108" s="76">
        <f t="shared" si="17"/>
        <v>-2000000</v>
      </c>
      <c r="AC108" s="63"/>
      <c r="AD108" s="180">
        <f t="shared" si="18"/>
        <v>0</v>
      </c>
      <c r="AE108" s="189"/>
      <c r="AF108" s="136"/>
      <c r="AG108" s="136"/>
      <c r="AH108" s="237"/>
      <c r="AI108" s="75" t="e">
        <f t="shared" si="14"/>
        <v>#DIV/0!</v>
      </c>
    </row>
    <row r="109" spans="1:35" ht="18.75" hidden="1">
      <c r="A109" s="36"/>
      <c r="B109" s="36"/>
      <c r="C109" s="39"/>
      <c r="D109" s="55" t="s">
        <v>181</v>
      </c>
      <c r="E109" s="73"/>
      <c r="F109" s="73"/>
      <c r="G109" s="73"/>
      <c r="H109" s="73"/>
      <c r="I109" s="73"/>
      <c r="J109" s="73"/>
      <c r="K109" s="73"/>
      <c r="L109" s="73"/>
      <c r="M109" s="58">
        <v>0</v>
      </c>
      <c r="N109" s="73"/>
      <c r="O109" s="62">
        <f t="shared" si="20"/>
        <v>9012024</v>
      </c>
      <c r="P109" s="58">
        <f t="shared" si="21"/>
        <v>4506012</v>
      </c>
      <c r="Q109" s="67">
        <f>5000000-500000+6012</f>
        <v>4506012</v>
      </c>
      <c r="R109" s="99"/>
      <c r="S109" s="63"/>
      <c r="T109" s="97">
        <f>309091.2+295428.55+104848.25+410089.8+99821.4+824466.6+79300.2-85899.6+234306+338492.4+314325+469128-30844.2+68012.4+172592.4+166410+6012</f>
        <v>3775580.3999999994</v>
      </c>
      <c r="U109" s="97"/>
      <c r="V109" s="74">
        <v>0</v>
      </c>
      <c r="W109" s="74"/>
      <c r="X109" s="97">
        <f>309091.2+295428.55+104848.25+410089.8+99821.4+824466.6+79300.2-85899.6+234306+338492.4+314325+469128-30844.2+68012.4+172592.4+166410+6012</f>
        <v>3775580.3999999994</v>
      </c>
      <c r="Y109" s="69">
        <f>X109/P109*100</f>
        <v>83.78984343583637</v>
      </c>
      <c r="Z109" s="59">
        <v>0</v>
      </c>
      <c r="AA109" s="74">
        <f t="shared" si="19"/>
        <v>0</v>
      </c>
      <c r="AB109" s="76">
        <f t="shared" si="17"/>
        <v>-4506012</v>
      </c>
      <c r="AC109" s="63"/>
      <c r="AD109" s="180">
        <f t="shared" si="18"/>
        <v>0</v>
      </c>
      <c r="AE109" s="189"/>
      <c r="AF109" s="136"/>
      <c r="AG109" s="136"/>
      <c r="AH109" s="237"/>
      <c r="AI109" s="75" t="e">
        <f t="shared" si="14"/>
        <v>#DIV/0!</v>
      </c>
    </row>
    <row r="110" spans="1:35" ht="21" customHeight="1" hidden="1">
      <c r="A110" s="36"/>
      <c r="B110" s="36"/>
      <c r="C110" s="39"/>
      <c r="D110" s="55" t="s">
        <v>182</v>
      </c>
      <c r="E110" s="73"/>
      <c r="F110" s="73"/>
      <c r="G110" s="73"/>
      <c r="H110" s="73"/>
      <c r="I110" s="73"/>
      <c r="J110" s="73"/>
      <c r="K110" s="73"/>
      <c r="L110" s="73"/>
      <c r="M110" s="58">
        <v>0</v>
      </c>
      <c r="N110" s="73"/>
      <c r="O110" s="62">
        <f t="shared" si="20"/>
        <v>7000000</v>
      </c>
      <c r="P110" s="58">
        <f t="shared" si="21"/>
        <v>3500000</v>
      </c>
      <c r="Q110" s="67">
        <v>3500000</v>
      </c>
      <c r="R110" s="99"/>
      <c r="S110" s="63"/>
      <c r="T110" s="97">
        <v>2072751.6</v>
      </c>
      <c r="U110" s="97"/>
      <c r="V110" s="74">
        <v>0</v>
      </c>
      <c r="W110" s="74"/>
      <c r="X110" s="97">
        <v>2072751.6</v>
      </c>
      <c r="Y110" s="69">
        <f>X110/P110*100</f>
        <v>59.221474285714294</v>
      </c>
      <c r="Z110" s="59">
        <v>0</v>
      </c>
      <c r="AA110" s="74">
        <f t="shared" si="19"/>
        <v>0</v>
      </c>
      <c r="AB110" s="76">
        <f t="shared" si="17"/>
        <v>-3500000</v>
      </c>
      <c r="AC110" s="63"/>
      <c r="AD110" s="180">
        <f t="shared" si="18"/>
        <v>0</v>
      </c>
      <c r="AE110" s="189"/>
      <c r="AF110" s="136"/>
      <c r="AG110" s="136"/>
      <c r="AH110" s="237"/>
      <c r="AI110" s="75" t="e">
        <f t="shared" si="14"/>
        <v>#DIV/0!</v>
      </c>
    </row>
    <row r="111" spans="1:35" ht="21" customHeight="1">
      <c r="A111" s="36"/>
      <c r="B111" s="36"/>
      <c r="C111" s="39"/>
      <c r="D111" s="55" t="s">
        <v>236</v>
      </c>
      <c r="E111" s="73"/>
      <c r="F111" s="73"/>
      <c r="G111" s="73"/>
      <c r="H111" s="73"/>
      <c r="I111" s="73"/>
      <c r="J111" s="73"/>
      <c r="K111" s="73"/>
      <c r="L111" s="73"/>
      <c r="M111" s="58"/>
      <c r="N111" s="73"/>
      <c r="O111" s="62"/>
      <c r="P111" s="58"/>
      <c r="Q111" s="67"/>
      <c r="R111" s="99"/>
      <c r="S111" s="63"/>
      <c r="T111" s="97"/>
      <c r="U111" s="97"/>
      <c r="V111" s="74"/>
      <c r="W111" s="74"/>
      <c r="X111" s="97"/>
      <c r="Y111" s="69"/>
      <c r="Z111" s="59"/>
      <c r="AA111" s="74"/>
      <c r="AB111" s="76"/>
      <c r="AC111" s="63"/>
      <c r="AD111" s="180">
        <f>AE111</f>
        <v>11806.56</v>
      </c>
      <c r="AE111" s="189">
        <v>11806.56</v>
      </c>
      <c r="AF111" s="136"/>
      <c r="AG111" s="136"/>
      <c r="AH111" s="237">
        <v>0</v>
      </c>
      <c r="AI111" s="75">
        <f t="shared" si="14"/>
        <v>0</v>
      </c>
    </row>
    <row r="112" spans="1:35" ht="94.5" customHeight="1">
      <c r="A112" s="36"/>
      <c r="B112" s="38" t="s">
        <v>225</v>
      </c>
      <c r="C112" s="39"/>
      <c r="D112" s="253" t="s">
        <v>249</v>
      </c>
      <c r="E112" s="42"/>
      <c r="F112" s="42"/>
      <c r="G112" s="42"/>
      <c r="H112" s="42"/>
      <c r="I112" s="42"/>
      <c r="J112" s="42"/>
      <c r="K112" s="42"/>
      <c r="L112" s="42"/>
      <c r="M112" s="171"/>
      <c r="N112" s="42"/>
      <c r="O112" s="172"/>
      <c r="P112" s="171"/>
      <c r="Q112" s="173"/>
      <c r="R112" s="174"/>
      <c r="S112" s="174"/>
      <c r="T112" s="173"/>
      <c r="U112" s="173"/>
      <c r="V112" s="173"/>
      <c r="W112" s="173"/>
      <c r="X112" s="173"/>
      <c r="Y112" s="175"/>
      <c r="Z112" s="125"/>
      <c r="AA112" s="173"/>
      <c r="AB112" s="176"/>
      <c r="AC112" s="174"/>
      <c r="AD112" s="205">
        <f>AE112</f>
        <v>666836.4</v>
      </c>
      <c r="AE112" s="125">
        <v>666836.4</v>
      </c>
      <c r="AF112" s="22"/>
      <c r="AG112" s="22"/>
      <c r="AH112" s="237">
        <f>245836.44+360842.76</f>
        <v>606679.2</v>
      </c>
      <c r="AI112" s="108">
        <f t="shared" si="14"/>
        <v>90.97871681869795</v>
      </c>
    </row>
    <row r="113" spans="1:35" ht="21" customHeight="1">
      <c r="A113" s="36"/>
      <c r="B113" s="23" t="s">
        <v>30</v>
      </c>
      <c r="C113" s="24">
        <v>1</v>
      </c>
      <c r="D113" s="25" t="s">
        <v>183</v>
      </c>
      <c r="E113" s="26"/>
      <c r="F113" s="26"/>
      <c r="G113" s="27"/>
      <c r="H113" s="26"/>
      <c r="I113" s="26"/>
      <c r="J113" s="28"/>
      <c r="K113" s="28"/>
      <c r="L113" s="28"/>
      <c r="M113" s="29">
        <f>M114</f>
        <v>28400</v>
      </c>
      <c r="N113" s="100"/>
      <c r="O113" s="101">
        <f>P113+Q113</f>
        <v>56800</v>
      </c>
      <c r="P113" s="30">
        <f>Q113+R113</f>
        <v>28400</v>
      </c>
      <c r="Q113" s="31">
        <f>Q114</f>
        <v>28400</v>
      </c>
      <c r="R113" s="31">
        <f>R114</f>
        <v>0</v>
      </c>
      <c r="S113" s="31">
        <f>S114</f>
        <v>0</v>
      </c>
      <c r="T113" s="31">
        <f>T114</f>
        <v>0</v>
      </c>
      <c r="U113" s="31"/>
      <c r="V113" s="31">
        <f>P113*(0.9)</f>
        <v>25560</v>
      </c>
      <c r="W113" s="31"/>
      <c r="X113" s="31">
        <f>X114</f>
        <v>0</v>
      </c>
      <c r="Y113" s="33">
        <f>X113/P113*100</f>
        <v>0</v>
      </c>
      <c r="Z113" s="30">
        <v>50000</v>
      </c>
      <c r="AA113" s="29">
        <f>Z113/P113*100</f>
        <v>176.05633802816902</v>
      </c>
      <c r="AB113" s="285"/>
      <c r="AC113" s="22" t="s">
        <v>184</v>
      </c>
      <c r="AD113" s="154">
        <f aca="true" t="shared" si="22" ref="AD113:AD119">AE113+AF113</f>
        <v>30700</v>
      </c>
      <c r="AE113" s="102">
        <f>AE114</f>
        <v>30700</v>
      </c>
      <c r="AF113" s="35"/>
      <c r="AG113" s="35"/>
      <c r="AH113" s="208">
        <v>0</v>
      </c>
      <c r="AI113" s="33">
        <f t="shared" si="14"/>
        <v>0</v>
      </c>
    </row>
    <row r="114" spans="1:35" ht="21" customHeight="1">
      <c r="A114" s="36"/>
      <c r="B114" s="178" t="s">
        <v>107</v>
      </c>
      <c r="C114" s="103"/>
      <c r="D114" s="168" t="s">
        <v>185</v>
      </c>
      <c r="E114" s="12"/>
      <c r="F114" s="12"/>
      <c r="G114" s="13"/>
      <c r="H114" s="12"/>
      <c r="I114" s="12"/>
      <c r="J114" s="104"/>
      <c r="K114" s="104"/>
      <c r="L114" s="104"/>
      <c r="M114" s="105">
        <v>28400</v>
      </c>
      <c r="N114" s="104"/>
      <c r="O114" s="106">
        <f>P114+Q114</f>
        <v>56800</v>
      </c>
      <c r="P114" s="107">
        <f>Q114+R114</f>
        <v>28400</v>
      </c>
      <c r="Q114" s="74">
        <v>28400</v>
      </c>
      <c r="R114" s="74">
        <v>0</v>
      </c>
      <c r="S114" s="74">
        <v>0</v>
      </c>
      <c r="T114" s="74">
        <v>0</v>
      </c>
      <c r="U114" s="74"/>
      <c r="V114" s="74">
        <f>P114*(0.9)</f>
        <v>25560</v>
      </c>
      <c r="W114" s="74"/>
      <c r="X114" s="74">
        <v>0</v>
      </c>
      <c r="Y114" s="108">
        <f>X114/P114*100</f>
        <v>0</v>
      </c>
      <c r="Z114" s="109">
        <v>50000</v>
      </c>
      <c r="AA114" s="74">
        <f>Z114/P114*100</f>
        <v>176.05633802816902</v>
      </c>
      <c r="AB114" s="285"/>
      <c r="AC114" s="22"/>
      <c r="AD114" s="187">
        <f t="shared" si="22"/>
        <v>30700</v>
      </c>
      <c r="AE114" s="49">
        <v>30700</v>
      </c>
      <c r="AF114" s="81"/>
      <c r="AG114" s="81"/>
      <c r="AH114" s="209">
        <v>0</v>
      </c>
      <c r="AI114" s="48">
        <f t="shared" si="14"/>
        <v>0</v>
      </c>
    </row>
    <row r="115" spans="1:35" ht="64.5" customHeight="1">
      <c r="A115" s="36"/>
      <c r="B115" s="110" t="s">
        <v>31</v>
      </c>
      <c r="C115" s="111"/>
      <c r="D115" s="112" t="s">
        <v>147</v>
      </c>
      <c r="E115" s="113"/>
      <c r="F115" s="113"/>
      <c r="G115" s="113"/>
      <c r="H115" s="113"/>
      <c r="I115" s="113"/>
      <c r="J115" s="113"/>
      <c r="K115" s="113"/>
      <c r="L115" s="113"/>
      <c r="M115" s="114"/>
      <c r="N115" s="114"/>
      <c r="O115" s="114"/>
      <c r="P115" s="114"/>
      <c r="Q115" s="114"/>
      <c r="R115" s="114"/>
      <c r="S115" s="114"/>
      <c r="T115" s="114"/>
      <c r="U115" s="114"/>
      <c r="V115" s="31"/>
      <c r="W115" s="31"/>
      <c r="X115" s="114"/>
      <c r="Y115" s="114"/>
      <c r="Z115" s="102"/>
      <c r="AA115" s="31"/>
      <c r="AB115" s="34"/>
      <c r="AC115" s="137"/>
      <c r="AD115" s="154">
        <f t="shared" si="22"/>
        <v>736478.54</v>
      </c>
      <c r="AE115" s="102">
        <f>AE117</f>
        <v>736478.54</v>
      </c>
      <c r="AF115" s="35"/>
      <c r="AG115" s="35"/>
      <c r="AH115" s="182">
        <f>AH117</f>
        <v>143108.99000000002</v>
      </c>
      <c r="AI115" s="33">
        <f>AH115/AD115*100</f>
        <v>19.431522064444675</v>
      </c>
    </row>
    <row r="116" spans="1:35" ht="20.25" customHeight="1">
      <c r="A116" s="36" t="s">
        <v>148</v>
      </c>
      <c r="B116" s="38" t="s">
        <v>134</v>
      </c>
      <c r="C116" s="37"/>
      <c r="D116" s="85" t="s">
        <v>149</v>
      </c>
      <c r="E116" s="73"/>
      <c r="F116" s="73"/>
      <c r="G116" s="73"/>
      <c r="H116" s="73"/>
      <c r="I116" s="73"/>
      <c r="J116" s="73"/>
      <c r="K116" s="73"/>
      <c r="L116" s="73"/>
      <c r="M116" s="179">
        <f>M117</f>
        <v>135989</v>
      </c>
      <c r="N116" s="179"/>
      <c r="O116" s="84">
        <f>P116+Q116</f>
        <v>271978</v>
      </c>
      <c r="P116" s="82">
        <f>Q116+R116</f>
        <v>135989</v>
      </c>
      <c r="Q116" s="74">
        <f>Q117</f>
        <v>135989</v>
      </c>
      <c r="R116" s="136"/>
      <c r="S116" s="136"/>
      <c r="T116" s="74">
        <f>T117</f>
        <v>128500.84000000001</v>
      </c>
      <c r="U116" s="74"/>
      <c r="V116" s="74">
        <f>V117</f>
        <v>1147180.09</v>
      </c>
      <c r="W116" s="74">
        <v>402800</v>
      </c>
      <c r="X116" s="74">
        <f>X117</f>
        <v>128500.84000000001</v>
      </c>
      <c r="Y116" s="75">
        <f>X116/P116*100</f>
        <v>94.4935546257418</v>
      </c>
      <c r="Z116" s="82">
        <f>Z117</f>
        <v>1147180.09</v>
      </c>
      <c r="AA116" s="74">
        <f>Z116/P116*100</f>
        <v>843.5830030370104</v>
      </c>
      <c r="AB116" s="76">
        <f>Z116-P116</f>
        <v>1011191.0900000001</v>
      </c>
      <c r="AC116" s="88"/>
      <c r="AD116" s="180">
        <f t="shared" si="22"/>
        <v>777789.24</v>
      </c>
      <c r="AE116" s="181">
        <f>AE117+AE118</f>
        <v>777789.24</v>
      </c>
      <c r="AF116" s="136"/>
      <c r="AG116" s="22"/>
      <c r="AH116" s="181">
        <f>AH117+AH118</f>
        <v>143108.99000000002</v>
      </c>
      <c r="AI116" s="184">
        <f>AH116/AD116*100</f>
        <v>18.399456130300802</v>
      </c>
    </row>
    <row r="117" spans="1:35" ht="52.5" customHeight="1">
      <c r="A117" s="36"/>
      <c r="B117" s="38"/>
      <c r="C117" s="37"/>
      <c r="D117" s="77" t="s">
        <v>88</v>
      </c>
      <c r="E117" s="56"/>
      <c r="F117" s="56"/>
      <c r="G117" s="56"/>
      <c r="H117" s="56"/>
      <c r="I117" s="56"/>
      <c r="J117" s="56"/>
      <c r="K117" s="56"/>
      <c r="L117" s="56"/>
      <c r="M117" s="67">
        <f>135989</f>
        <v>135989</v>
      </c>
      <c r="N117" s="83"/>
      <c r="O117" s="62">
        <f>P117+Q117</f>
        <v>271978</v>
      </c>
      <c r="P117" s="58">
        <f>Q117+R117</f>
        <v>135989</v>
      </c>
      <c r="Q117" s="46">
        <f>135989</f>
        <v>135989</v>
      </c>
      <c r="R117" s="78"/>
      <c r="S117" s="78"/>
      <c r="T117" s="46">
        <f>6438.31+13187.76+54909+12393.8+41571.97</f>
        <v>128500.84000000001</v>
      </c>
      <c r="U117" s="46"/>
      <c r="V117" s="50">
        <v>1147180.09</v>
      </c>
      <c r="W117" s="50">
        <f>W116</f>
        <v>402800</v>
      </c>
      <c r="X117" s="46">
        <f>6438.31+13187.76+54909+12393.8+41571.97</f>
        <v>128500.84000000001</v>
      </c>
      <c r="Y117" s="64">
        <f>X117/P117*100</f>
        <v>94.4935546257418</v>
      </c>
      <c r="Z117" s="116">
        <v>1147180.09</v>
      </c>
      <c r="AA117" s="50">
        <f>Z117/P117*100</f>
        <v>843.5830030370104</v>
      </c>
      <c r="AB117" s="51">
        <f>Z117-P117</f>
        <v>1011191.0900000001</v>
      </c>
      <c r="AC117" s="78" t="s">
        <v>89</v>
      </c>
      <c r="AD117" s="187">
        <f t="shared" si="22"/>
        <v>736478.54</v>
      </c>
      <c r="AE117" s="59">
        <v>736478.54</v>
      </c>
      <c r="AF117" s="22"/>
      <c r="AG117" s="22"/>
      <c r="AH117" s="191">
        <f>11291.3+9563.01+9331.63+11197.95+10805.05+9724.53+8211.82+12317.77+10264.82+10264.82+40136.29</f>
        <v>143108.99000000002</v>
      </c>
      <c r="AI117" s="48">
        <f>AH117/AD117*100</f>
        <v>19.431522064444675</v>
      </c>
    </row>
    <row r="118" spans="1:37" ht="34.5" customHeight="1">
      <c r="A118" s="36"/>
      <c r="B118" s="36"/>
      <c r="C118" s="115"/>
      <c r="D118" s="249" t="s">
        <v>247</v>
      </c>
      <c r="AD118" s="187">
        <f t="shared" si="22"/>
        <v>41310.7</v>
      </c>
      <c r="AE118" s="59">
        <v>41310.7</v>
      </c>
      <c r="AF118" s="252"/>
      <c r="AG118" s="252"/>
      <c r="AH118" s="48">
        <v>0</v>
      </c>
      <c r="AI118" s="192">
        <f>AH118/AD118*100</f>
        <v>0</v>
      </c>
      <c r="AK118" s="93"/>
    </row>
    <row r="119" spans="1:35" ht="0.75" customHeight="1" hidden="1">
      <c r="A119" s="36"/>
      <c r="B119" s="36"/>
      <c r="C119" s="115"/>
      <c r="D119" s="77"/>
      <c r="E119" s="56"/>
      <c r="F119" s="56"/>
      <c r="G119" s="56"/>
      <c r="H119" s="56"/>
      <c r="I119" s="56"/>
      <c r="J119" s="56"/>
      <c r="K119" s="56"/>
      <c r="L119" s="56"/>
      <c r="M119" s="67"/>
      <c r="N119" s="83"/>
      <c r="O119" s="62"/>
      <c r="P119" s="58"/>
      <c r="Q119" s="46"/>
      <c r="R119" s="78"/>
      <c r="S119" s="78"/>
      <c r="T119" s="46"/>
      <c r="U119" s="46"/>
      <c r="V119" s="50"/>
      <c r="W119" s="50"/>
      <c r="X119" s="46"/>
      <c r="Y119" s="64"/>
      <c r="Z119" s="116"/>
      <c r="AA119" s="50"/>
      <c r="AB119" s="51"/>
      <c r="AC119" s="78"/>
      <c r="AD119" s="187">
        <f t="shared" si="22"/>
        <v>736478.54</v>
      </c>
      <c r="AE119" s="59">
        <v>736478.54</v>
      </c>
      <c r="AF119" s="250"/>
      <c r="AG119" s="250"/>
      <c r="AH119" s="193"/>
      <c r="AI119" s="251"/>
    </row>
    <row r="120" spans="1:35" ht="36.75" customHeight="1">
      <c r="A120" s="36"/>
      <c r="B120" s="110" t="s">
        <v>168</v>
      </c>
      <c r="C120" s="194"/>
      <c r="D120" s="112" t="s">
        <v>222</v>
      </c>
      <c r="E120" s="195"/>
      <c r="F120" s="195"/>
      <c r="G120" s="195"/>
      <c r="H120" s="195"/>
      <c r="I120" s="195"/>
      <c r="J120" s="195"/>
      <c r="K120" s="195"/>
      <c r="L120" s="195"/>
      <c r="M120" s="196"/>
      <c r="N120" s="197"/>
      <c r="O120" s="198"/>
      <c r="P120" s="114"/>
      <c r="Q120" s="199"/>
      <c r="R120" s="200"/>
      <c r="S120" s="200"/>
      <c r="T120" s="199"/>
      <c r="U120" s="199"/>
      <c r="V120" s="201"/>
      <c r="W120" s="201"/>
      <c r="X120" s="199"/>
      <c r="Y120" s="202"/>
      <c r="Z120" s="203"/>
      <c r="AA120" s="201"/>
      <c r="AB120" s="204"/>
      <c r="AC120" s="200"/>
      <c r="AD120" s="154">
        <f>AE120</f>
        <v>4500000</v>
      </c>
      <c r="AE120" s="102">
        <f>AE121</f>
        <v>4500000</v>
      </c>
      <c r="AF120" s="35"/>
      <c r="AG120" s="35"/>
      <c r="AH120" s="207">
        <f>AH121</f>
        <v>0</v>
      </c>
      <c r="AI120" s="33">
        <f>AH120/AD120*100</f>
        <v>0</v>
      </c>
    </row>
    <row r="121" spans="1:35" ht="36.75" customHeight="1">
      <c r="A121" s="36"/>
      <c r="B121" s="38" t="s">
        <v>223</v>
      </c>
      <c r="C121" s="115"/>
      <c r="D121" s="77" t="s">
        <v>224</v>
      </c>
      <c r="E121" s="56"/>
      <c r="F121" s="56"/>
      <c r="G121" s="56"/>
      <c r="H121" s="56"/>
      <c r="I121" s="56"/>
      <c r="J121" s="56"/>
      <c r="K121" s="56"/>
      <c r="L121" s="56"/>
      <c r="M121" s="67"/>
      <c r="N121" s="83"/>
      <c r="O121" s="62"/>
      <c r="P121" s="58"/>
      <c r="Q121" s="46"/>
      <c r="R121" s="78"/>
      <c r="S121" s="78"/>
      <c r="T121" s="46"/>
      <c r="U121" s="46"/>
      <c r="V121" s="50"/>
      <c r="W121" s="50"/>
      <c r="X121" s="46"/>
      <c r="Y121" s="64"/>
      <c r="Z121" s="116"/>
      <c r="AA121" s="50"/>
      <c r="AB121" s="51"/>
      <c r="AC121" s="78"/>
      <c r="AD121" s="187">
        <f>AE121</f>
        <v>4500000</v>
      </c>
      <c r="AE121" s="59">
        <v>4500000</v>
      </c>
      <c r="AF121" s="22"/>
      <c r="AG121" s="22"/>
      <c r="AH121" s="233">
        <v>0</v>
      </c>
      <c r="AI121" s="48">
        <f>AH121/AD121*100</f>
        <v>0</v>
      </c>
    </row>
    <row r="122" spans="1:35" ht="18" customHeight="1">
      <c r="A122" s="117"/>
      <c r="B122" s="117"/>
      <c r="C122" s="118"/>
      <c r="D122" s="119" t="s">
        <v>110</v>
      </c>
      <c r="E122" s="117"/>
      <c r="F122" s="117"/>
      <c r="G122" s="117"/>
      <c r="H122" s="117"/>
      <c r="I122" s="120"/>
      <c r="J122" s="120"/>
      <c r="K122" s="120"/>
      <c r="L122" s="120"/>
      <c r="M122" s="84" t="e">
        <f>M113+M54</f>
        <v>#REF!</v>
      </c>
      <c r="N122" s="84" t="e">
        <f>N113+N54</f>
        <v>#VALUE!</v>
      </c>
      <c r="O122" s="84" t="e">
        <f>O113+O54</f>
        <v>#REF!</v>
      </c>
      <c r="P122" s="82" t="e">
        <f>P113+P54</f>
        <v>#REF!</v>
      </c>
      <c r="Q122" s="84"/>
      <c r="R122" s="84"/>
      <c r="S122" s="84"/>
      <c r="T122" s="84"/>
      <c r="U122" s="84"/>
      <c r="V122" s="84"/>
      <c r="W122" s="74"/>
      <c r="X122" s="84"/>
      <c r="Y122" s="84"/>
      <c r="Z122" s="82" t="e">
        <f>Z113+Z54</f>
        <v>#REF!</v>
      </c>
      <c r="AA122" s="84" t="e">
        <f>AA113+AA54</f>
        <v>#REF!</v>
      </c>
      <c r="AB122" s="84" t="e">
        <f>AB113+AB54</f>
        <v>#REF!</v>
      </c>
      <c r="AC122" s="84"/>
      <c r="AD122" s="148">
        <f>AD120+AD115+AD113+AD54+AD52+AD8</f>
        <v>86726707.66214901</v>
      </c>
      <c r="AE122" s="148">
        <f>AE120+AE115+AE113+AE54+AE52+AE8</f>
        <v>65543797.662149005</v>
      </c>
      <c r="AF122" s="148">
        <f>AF120+AF115+AF113+AF54+AF52+AF8</f>
        <v>21182910</v>
      </c>
      <c r="AG122" s="148">
        <f>AG120+AG115+AG113+AG54+AG52+AG8</f>
        <v>21182910</v>
      </c>
      <c r="AH122" s="148">
        <f>AH120+AH115+AH113+AH54+AH52+AH8</f>
        <v>34827876.49</v>
      </c>
      <c r="AI122" s="184">
        <f>AH122/AD122*100</f>
        <v>40.15819051459309</v>
      </c>
    </row>
    <row r="123" spans="16:23" ht="12.75">
      <c r="P123" s="94"/>
      <c r="R123" s="135"/>
      <c r="S123" s="135"/>
      <c r="V123" s="93"/>
      <c r="W123" s="93"/>
    </row>
    <row r="124" spans="1:30" ht="12.75">
      <c r="A124" s="121"/>
      <c r="B124" s="123"/>
      <c r="C124" s="122"/>
      <c r="P124" s="94"/>
      <c r="R124" s="5"/>
      <c r="S124" s="5"/>
      <c r="T124" s="5"/>
      <c r="U124" s="5"/>
      <c r="V124" s="5"/>
      <c r="W124" s="5"/>
      <c r="X124" s="5"/>
      <c r="AD124" s="177"/>
    </row>
    <row r="125" spans="4:33" s="244" customFormat="1" ht="18.75"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6"/>
      <c r="Q125" s="245"/>
      <c r="R125" s="247"/>
      <c r="S125" s="247"/>
      <c r="T125" s="247"/>
      <c r="U125" s="247"/>
      <c r="V125" s="247"/>
      <c r="W125" s="247"/>
      <c r="X125" s="247"/>
      <c r="Y125" s="245"/>
      <c r="Z125" s="245"/>
      <c r="AA125" s="245"/>
      <c r="AB125" s="245"/>
      <c r="AC125" s="245"/>
      <c r="AD125" s="245"/>
      <c r="AG125" s="248"/>
    </row>
    <row r="126" spans="16:24" ht="12.75">
      <c r="P126" s="94"/>
      <c r="R126" s="5"/>
      <c r="S126" s="5"/>
      <c r="T126" s="5"/>
      <c r="U126" s="5"/>
      <c r="V126" s="5"/>
      <c r="W126" s="5"/>
      <c r="X126" s="5"/>
    </row>
    <row r="127" spans="16:24" ht="12.75">
      <c r="P127" s="94"/>
      <c r="R127" s="5"/>
      <c r="S127" s="5"/>
      <c r="T127" s="5"/>
      <c r="U127" s="5"/>
      <c r="V127" s="5"/>
      <c r="W127" s="5"/>
      <c r="X127" s="5"/>
    </row>
    <row r="128" ht="12.75">
      <c r="AE128" s="94"/>
    </row>
    <row r="166" ht="12.75"/>
    <row r="167" ht="12.75"/>
    <row r="168" ht="12.75"/>
    <row r="169" ht="12.75"/>
    <row r="170" ht="12.75"/>
    <row r="171" ht="12.75"/>
  </sheetData>
  <sheetProtection/>
  <mergeCells count="35"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9:AC101"/>
    <mergeCell ref="X5:X6"/>
    <mergeCell ref="Y5:Y6"/>
    <mergeCell ref="Z5:Z6"/>
    <mergeCell ref="AC71:AC73"/>
    <mergeCell ref="AC74:AC78"/>
    <mergeCell ref="C93:C94"/>
    <mergeCell ref="D6:D7"/>
    <mergeCell ref="C67:C69"/>
    <mergeCell ref="AC5:AC6"/>
    <mergeCell ref="AA5:AA6"/>
    <mergeCell ref="AB5:AB6"/>
    <mergeCell ref="M5:M6"/>
    <mergeCell ref="W58:W59"/>
    <mergeCell ref="AC58:AC59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2017-07-05T08:18:51Z</cp:lastPrinted>
  <dcterms:created xsi:type="dcterms:W3CDTF">2014-01-17T10:52:16Z</dcterms:created>
  <dcterms:modified xsi:type="dcterms:W3CDTF">2017-07-12T04:31:09Z</dcterms:modified>
  <cp:category/>
  <cp:version/>
  <cp:contentType/>
  <cp:contentStatus/>
</cp:coreProperties>
</file>